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1.xml" ContentType="application/vnd.openxmlformats-officedocument.spreadsheetml.comments+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americanfarmlandtrust.sharepoint.com/sites/National-Programs/Shared Documents/Farmland Information Center/Web Site/Content Entry/Literature/AFT Publications/Climate Change/"/>
    </mc:Choice>
  </mc:AlternateContent>
  <xr:revisionPtr revIDLastSave="0" documentId="8_{AC009640-1A63-499F-A2B7-E0A03E60A853}" xr6:coauthVersionLast="47" xr6:coauthVersionMax="47" xr10:uidLastSave="{00000000-0000-0000-0000-000000000000}"/>
  <bookViews>
    <workbookView xWindow="-110" yWindow="-110" windowWidth="19420" windowHeight="10420" tabRatio="676" xr2:uid="{6A0C252B-290D-4B77-B0EE-2FD82A91A73E}"/>
  </bookViews>
  <sheets>
    <sheet name="0-READ_ME" sheetId="1" r:id="rId1"/>
    <sheet name="1-Inputs" sheetId="2" r:id="rId2"/>
    <sheet name="2-Equations" sheetId="4" r:id="rId3"/>
    <sheet name="3-Results" sheetId="23" r:id="rId4"/>
    <sheet name="COMETFarm" sheetId="20" r:id="rId5"/>
    <sheet name="Charts" sheetId="18" r:id="rId6"/>
    <sheet name="MPG &amp; AVEFs by yr" sheetId="6" r:id="rId7"/>
    <sheet name="MPG_Refs" sheetId="11" r:id="rId8"/>
    <sheet name="per acre" sheetId="22" r:id="rId9"/>
    <sheet name="SOC Ref" sheetId="9" r:id="rId10"/>
    <sheet name="Btu" sheetId="10" r:id="rId11"/>
    <sheet name="nonCO2 EFs" sheetId="12" r:id="rId12"/>
    <sheet name="Census Tract Yr Structure Built" sheetId="14" r:id="rId13"/>
    <sheet name="vehicles per HH" sheetId="24" r:id="rId14"/>
    <sheet name="data sources" sheetId="21" r:id="rId15"/>
  </sheets>
  <definedNames>
    <definedName name="_xlnm._FilterDatabase" localSheetId="2" hidden="1">'2-Equations'!$B$51:$D$57</definedName>
    <definedName name="_xlnm._FilterDatabase" localSheetId="13" hidden="1">'vehicles per HH'!$A$5:$Q$475</definedName>
    <definedName name="Adjusted">#REF!</definedName>
    <definedName name="CTFEBS">#REF!</definedName>
    <definedName name="FINAL">#REF!</definedName>
    <definedName name="PRINT">#REF!</definedName>
    <definedName name="_xlnm.Print_Titles" localSheetId="10">Btu!$2:$5</definedName>
    <definedName name="SAVED">#REF!</definedName>
    <definedName name="SAVII">#REF!</definedName>
    <definedName name="STATES">#REF!</definedName>
    <definedName name="YEAR">#REF!</definedName>
    <definedName name="YEAR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9" i="20" l="1"/>
  <c r="A10" i="4"/>
  <c r="C49" i="20"/>
  <c r="B51" i="20"/>
  <c r="I23" i="23"/>
  <c r="AJ6" i="6"/>
  <c r="U22" i="6"/>
  <c r="AH7" i="12"/>
  <c r="A67" i="4"/>
  <c r="A57" i="4"/>
  <c r="C21" i="6"/>
  <c r="A34" i="4"/>
  <c r="A30" i="4"/>
  <c r="B26" i="2"/>
  <c r="A25" i="23"/>
  <c r="A31" i="23" s="1"/>
  <c r="A24" i="23"/>
  <c r="A30" i="23" s="1"/>
  <c r="A23" i="23"/>
  <c r="E16" i="20"/>
  <c r="D16" i="20"/>
  <c r="C48" i="20"/>
  <c r="B48" i="20"/>
  <c r="D48" i="20"/>
  <c r="B47" i="20"/>
  <c r="D47" i="20" s="1"/>
  <c r="B46" i="20"/>
  <c r="D46" i="20" s="1"/>
  <c r="D49" i="20" l="1"/>
  <c r="A26" i="23" s="1"/>
  <c r="A32" i="23" s="1"/>
  <c r="X6" i="6" l="1"/>
  <c r="A40" i="4" l="1"/>
  <c r="A39" i="4"/>
  <c r="R240" i="24"/>
  <c r="R239" i="24"/>
  <c r="R238" i="24"/>
  <c r="R237" i="24"/>
  <c r="R236" i="24"/>
  <c r="R235" i="24"/>
  <c r="R234" i="24"/>
  <c r="R233" i="24"/>
  <c r="R232" i="24"/>
  <c r="R231" i="24"/>
  <c r="R230" i="24"/>
  <c r="R229" i="24"/>
  <c r="R228" i="24"/>
  <c r="R227" i="24"/>
  <c r="R226" i="24"/>
  <c r="R225" i="24"/>
  <c r="R224" i="24"/>
  <c r="R223" i="24"/>
  <c r="R222" i="24"/>
  <c r="R221" i="24"/>
  <c r="R220" i="24"/>
  <c r="R219" i="24"/>
  <c r="R218" i="24"/>
  <c r="R217" i="24"/>
  <c r="R216" i="24"/>
  <c r="R215" i="24"/>
  <c r="R214" i="24"/>
  <c r="R213" i="24"/>
  <c r="R212" i="24"/>
  <c r="R211" i="24"/>
  <c r="R210" i="24"/>
  <c r="R209" i="24"/>
  <c r="R208" i="24"/>
  <c r="R207" i="24"/>
  <c r="R206" i="24"/>
  <c r="R205" i="24"/>
  <c r="R204" i="24"/>
  <c r="R203" i="24"/>
  <c r="R202" i="24"/>
  <c r="R201" i="24"/>
  <c r="R200" i="24"/>
  <c r="R199" i="24"/>
  <c r="R198" i="24"/>
  <c r="R197" i="24"/>
  <c r="R196" i="24"/>
  <c r="R195" i="24"/>
  <c r="R194" i="24"/>
  <c r="R193" i="24"/>
  <c r="R192" i="24"/>
  <c r="R191" i="24"/>
  <c r="R190" i="24"/>
  <c r="R189" i="24"/>
  <c r="R188" i="24"/>
  <c r="R187" i="24"/>
  <c r="R186" i="24"/>
  <c r="R185" i="24"/>
  <c r="R184" i="24"/>
  <c r="R183" i="24"/>
  <c r="R182" i="24"/>
  <c r="R181" i="24"/>
  <c r="R180" i="24"/>
  <c r="R179" i="24"/>
  <c r="R178" i="24"/>
  <c r="R177" i="24"/>
  <c r="R176" i="24"/>
  <c r="R175" i="24"/>
  <c r="R174" i="24"/>
  <c r="R173" i="24"/>
  <c r="R172" i="24"/>
  <c r="R171" i="24"/>
  <c r="R170" i="24"/>
  <c r="R169" i="24"/>
  <c r="R168" i="24"/>
  <c r="R167" i="24"/>
  <c r="R166" i="24"/>
  <c r="R165" i="24"/>
  <c r="R164" i="24"/>
  <c r="R163" i="24"/>
  <c r="R162" i="24"/>
  <c r="R161" i="24"/>
  <c r="R160" i="24"/>
  <c r="R159" i="24"/>
  <c r="R158" i="24"/>
  <c r="R157" i="24"/>
  <c r="R156" i="24"/>
  <c r="R155" i="24"/>
  <c r="R154" i="24"/>
  <c r="R153" i="24"/>
  <c r="R152" i="24"/>
  <c r="R151" i="24"/>
  <c r="R150" i="24"/>
  <c r="R149" i="24"/>
  <c r="R148" i="24"/>
  <c r="R147" i="24"/>
  <c r="R146" i="24"/>
  <c r="R145" i="24"/>
  <c r="R144" i="24"/>
  <c r="R143" i="24"/>
  <c r="R142" i="24"/>
  <c r="R141" i="24"/>
  <c r="R140" i="24"/>
  <c r="R139" i="24"/>
  <c r="R138" i="24"/>
  <c r="R137" i="24"/>
  <c r="R136" i="24"/>
  <c r="R135" i="24"/>
  <c r="R134" i="24"/>
  <c r="R133" i="24"/>
  <c r="R132" i="24"/>
  <c r="R131" i="24"/>
  <c r="R130" i="24"/>
  <c r="R129" i="24"/>
  <c r="R128" i="24"/>
  <c r="R127" i="24"/>
  <c r="R126" i="24"/>
  <c r="R125" i="24"/>
  <c r="R124" i="24"/>
  <c r="R123" i="24"/>
  <c r="R122" i="24"/>
  <c r="R121" i="24"/>
  <c r="R120" i="24"/>
  <c r="R119" i="24"/>
  <c r="R118" i="24"/>
  <c r="R117" i="24"/>
  <c r="R116" i="24"/>
  <c r="R115" i="24"/>
  <c r="R114" i="24"/>
  <c r="R113" i="24"/>
  <c r="R112" i="24"/>
  <c r="R111" i="24"/>
  <c r="R110" i="24"/>
  <c r="R109" i="24"/>
  <c r="R108" i="24"/>
  <c r="R107" i="24"/>
  <c r="R106" i="24"/>
  <c r="R105" i="24"/>
  <c r="R104" i="24"/>
  <c r="R103" i="24"/>
  <c r="R102" i="24"/>
  <c r="R101" i="24"/>
  <c r="R100" i="24"/>
  <c r="R99" i="24"/>
  <c r="R98" i="24"/>
  <c r="R97" i="24"/>
  <c r="R96" i="24"/>
  <c r="R95" i="24"/>
  <c r="R94" i="24"/>
  <c r="R93" i="24"/>
  <c r="R92" i="24"/>
  <c r="R91" i="24"/>
  <c r="R90" i="24"/>
  <c r="R89" i="24"/>
  <c r="R88" i="24"/>
  <c r="R87" i="24"/>
  <c r="R86" i="24"/>
  <c r="R85" i="24"/>
  <c r="R84" i="24"/>
  <c r="R83" i="24"/>
  <c r="R82" i="24"/>
  <c r="R81" i="24"/>
  <c r="R80" i="24"/>
  <c r="R79" i="24"/>
  <c r="R78" i="24"/>
  <c r="R77" i="24"/>
  <c r="R76" i="24"/>
  <c r="R75" i="24"/>
  <c r="R74" i="24"/>
  <c r="R73" i="24"/>
  <c r="R72" i="24"/>
  <c r="R71" i="24"/>
  <c r="R70" i="24"/>
  <c r="R69" i="24"/>
  <c r="R68" i="24"/>
  <c r="R67" i="24"/>
  <c r="R66" i="24"/>
  <c r="R65" i="24"/>
  <c r="R64" i="24"/>
  <c r="R63" i="24"/>
  <c r="R62" i="24"/>
  <c r="R61" i="24"/>
  <c r="R60" i="24"/>
  <c r="R59" i="24"/>
  <c r="R58" i="24"/>
  <c r="R57" i="24"/>
  <c r="R56" i="24"/>
  <c r="R55" i="24"/>
  <c r="R54" i="24"/>
  <c r="R53" i="24"/>
  <c r="R52" i="24"/>
  <c r="R51" i="24"/>
  <c r="R50" i="24"/>
  <c r="R49" i="24"/>
  <c r="R48" i="24"/>
  <c r="R47" i="24"/>
  <c r="R46" i="24"/>
  <c r="R45" i="24"/>
  <c r="R44" i="24"/>
  <c r="R43" i="24"/>
  <c r="R42" i="24"/>
  <c r="R41" i="24"/>
  <c r="R40" i="24"/>
  <c r="R39" i="24"/>
  <c r="R38" i="24"/>
  <c r="R37" i="24"/>
  <c r="R36" i="24"/>
  <c r="R35" i="24"/>
  <c r="R34" i="24"/>
  <c r="R33" i="24"/>
  <c r="R32" i="24"/>
  <c r="R31" i="24"/>
  <c r="R30" i="24"/>
  <c r="R29" i="24"/>
  <c r="R28" i="24"/>
  <c r="R27" i="24"/>
  <c r="R26" i="24"/>
  <c r="R25" i="24"/>
  <c r="R24" i="24"/>
  <c r="R23" i="24"/>
  <c r="R22" i="24"/>
  <c r="R21" i="24"/>
  <c r="R20" i="24"/>
  <c r="R19" i="24"/>
  <c r="R18" i="24"/>
  <c r="R17" i="24"/>
  <c r="R16" i="24"/>
  <c r="R15" i="24"/>
  <c r="R14" i="24"/>
  <c r="R13" i="24"/>
  <c r="R12" i="24"/>
  <c r="R11" i="24"/>
  <c r="R10" i="24"/>
  <c r="R9" i="24"/>
  <c r="R8" i="24"/>
  <c r="R7" i="24"/>
  <c r="R6" i="24"/>
  <c r="A4" i="23" l="1"/>
  <c r="C4" i="22"/>
  <c r="C6" i="22" s="1"/>
  <c r="A76" i="4" l="1"/>
  <c r="B43" i="2"/>
  <c r="R48" i="6"/>
  <c r="K37" i="6"/>
  <c r="B24" i="2"/>
  <c r="A5" i="23" s="1"/>
  <c r="C3" i="14"/>
  <c r="C4" i="14"/>
  <c r="C5" i="14"/>
  <c r="C6" i="14"/>
  <c r="C2" i="14"/>
  <c r="A23" i="4"/>
  <c r="A24" i="4" s="1"/>
  <c r="A29" i="4"/>
  <c r="H25" i="22" l="1"/>
  <c r="I25" i="22"/>
  <c r="J25" i="22"/>
  <c r="H24" i="22"/>
  <c r="I24" i="22"/>
  <c r="J24" i="22"/>
  <c r="H23" i="22"/>
  <c r="I23" i="22"/>
  <c r="J23" i="22"/>
  <c r="H22" i="22"/>
  <c r="I22" i="22"/>
  <c r="J22" i="22"/>
  <c r="H21" i="22"/>
  <c r="I21" i="22"/>
  <c r="J21" i="22"/>
  <c r="H20" i="22"/>
  <c r="I20" i="22"/>
  <c r="J20" i="22"/>
  <c r="H19" i="22"/>
  <c r="I19" i="22"/>
  <c r="J19" i="22"/>
  <c r="H18" i="22"/>
  <c r="I18" i="22"/>
  <c r="J18" i="22"/>
  <c r="H17" i="22"/>
  <c r="I17" i="22"/>
  <c r="J17" i="22"/>
  <c r="H16" i="22"/>
  <c r="I16" i="22"/>
  <c r="J16" i="22"/>
  <c r="H15" i="22"/>
  <c r="I15" i="22"/>
  <c r="J15" i="22"/>
  <c r="I8" i="22"/>
  <c r="I9" i="22"/>
  <c r="I10" i="22"/>
  <c r="I11" i="22"/>
  <c r="I12" i="22"/>
  <c r="I13" i="22"/>
  <c r="I14" i="22"/>
  <c r="I7" i="22"/>
  <c r="H14" i="22"/>
  <c r="J14" i="22"/>
  <c r="H13" i="22"/>
  <c r="J13" i="22"/>
  <c r="H12" i="22"/>
  <c r="J12" i="22"/>
  <c r="H5" i="22"/>
  <c r="J8" i="22"/>
  <c r="J9" i="22"/>
  <c r="J10" i="22"/>
  <c r="J11" i="22"/>
  <c r="J7" i="22"/>
  <c r="H8" i="22"/>
  <c r="H9" i="22"/>
  <c r="H10" i="22"/>
  <c r="H11" i="22"/>
  <c r="H7" i="22"/>
  <c r="M33" i="22"/>
  <c r="H27" i="22" s="1"/>
  <c r="M31" i="22"/>
  <c r="H26" i="22" s="1"/>
  <c r="M24" i="22"/>
  <c r="M23" i="22"/>
  <c r="M17" i="22"/>
  <c r="M6" i="22"/>
  <c r="M8" i="22" s="1"/>
  <c r="R46" i="11"/>
  <c r="B35" i="11"/>
  <c r="S48" i="11" s="1"/>
  <c r="A56" i="4"/>
  <c r="A55" i="4"/>
  <c r="A18" i="4"/>
  <c r="AI6" i="6"/>
  <c r="AE6" i="6"/>
  <c r="AA6" i="6"/>
  <c r="Q44" i="6"/>
  <c r="P42" i="6"/>
  <c r="P44" i="6"/>
  <c r="P45" i="6"/>
  <c r="P46" i="6"/>
  <c r="P47" i="6"/>
  <c r="P24" i="6"/>
  <c r="P25" i="6"/>
  <c r="P29" i="6"/>
  <c r="P30" i="6"/>
  <c r="Q30" i="6"/>
  <c r="P35" i="6"/>
  <c r="P36" i="6"/>
  <c r="R36" i="6"/>
  <c r="P37" i="6"/>
  <c r="R37" i="6"/>
  <c r="R49" i="6"/>
  <c r="R51" i="6"/>
  <c r="L45" i="6"/>
  <c r="M25" i="6"/>
  <c r="M34" i="6"/>
  <c r="M50" i="6"/>
  <c r="K34" i="6"/>
  <c r="AH8" i="12"/>
  <c r="AI8" i="12"/>
  <c r="AH9" i="12"/>
  <c r="L46" i="6" s="1"/>
  <c r="AI9" i="12"/>
  <c r="L40" i="6" s="1"/>
  <c r="AH10" i="12"/>
  <c r="M35" i="6" s="1"/>
  <c r="AI10" i="12"/>
  <c r="M24" i="6" s="1"/>
  <c r="AH11" i="12"/>
  <c r="AI11" i="12"/>
  <c r="AH12" i="12"/>
  <c r="AI12" i="12"/>
  <c r="AH14" i="12"/>
  <c r="P48" i="6" s="1"/>
  <c r="AI14" i="12"/>
  <c r="AH15" i="12"/>
  <c r="AI15" i="12"/>
  <c r="AH16" i="12"/>
  <c r="Q45" i="6" s="1"/>
  <c r="AI16" i="12"/>
  <c r="AH17" i="12"/>
  <c r="R30" i="6" s="1"/>
  <c r="AI17" i="12"/>
  <c r="R28" i="6" s="1"/>
  <c r="AH18" i="12"/>
  <c r="AI18" i="12"/>
  <c r="AH19" i="12"/>
  <c r="AI19" i="12"/>
  <c r="AH21" i="12"/>
  <c r="AI21" i="12"/>
  <c r="AH22" i="12"/>
  <c r="AI22" i="12"/>
  <c r="AH23" i="12"/>
  <c r="AI23" i="12"/>
  <c r="AH24" i="12"/>
  <c r="AI24" i="12"/>
  <c r="AH25" i="12"/>
  <c r="AI25" i="12"/>
  <c r="AH26" i="12"/>
  <c r="AI26" i="12"/>
  <c r="AH28" i="12"/>
  <c r="AI28" i="12"/>
  <c r="AH29" i="12"/>
  <c r="AI29" i="12"/>
  <c r="AH30" i="12"/>
  <c r="AI30" i="12"/>
  <c r="AH31" i="12"/>
  <c r="AI31" i="12"/>
  <c r="AH32" i="12"/>
  <c r="AI32" i="12"/>
  <c r="AH33" i="12"/>
  <c r="AI33" i="12"/>
  <c r="AH36" i="12"/>
  <c r="AI36" i="12"/>
  <c r="AH37" i="12"/>
  <c r="AI37" i="12"/>
  <c r="AH38" i="12"/>
  <c r="AI38" i="12"/>
  <c r="AH39" i="12"/>
  <c r="AI39" i="12"/>
  <c r="AH40" i="12"/>
  <c r="AI40" i="12"/>
  <c r="AH41" i="12"/>
  <c r="AI41" i="12"/>
  <c r="AH43" i="12"/>
  <c r="AI43" i="12"/>
  <c r="AH44" i="12"/>
  <c r="AI44" i="12"/>
  <c r="AH45" i="12"/>
  <c r="AI45" i="12"/>
  <c r="AH46" i="12"/>
  <c r="AI46" i="12"/>
  <c r="AH47" i="12"/>
  <c r="AI47" i="12"/>
  <c r="AH48" i="12"/>
  <c r="AI48" i="12"/>
  <c r="AH50" i="12"/>
  <c r="AI50" i="12"/>
  <c r="AH51" i="12"/>
  <c r="AI51" i="12"/>
  <c r="AH52" i="12"/>
  <c r="AI52" i="12"/>
  <c r="AH53" i="12"/>
  <c r="AI53" i="12"/>
  <c r="AH54" i="12"/>
  <c r="AI54" i="12"/>
  <c r="AH55" i="12"/>
  <c r="AI55" i="12"/>
  <c r="AH57" i="12"/>
  <c r="AI57" i="12"/>
  <c r="AH58" i="12"/>
  <c r="AI58" i="12"/>
  <c r="AH59" i="12"/>
  <c r="AI59" i="12"/>
  <c r="AH60" i="12"/>
  <c r="AI60" i="12"/>
  <c r="AH61" i="12"/>
  <c r="AI61" i="12"/>
  <c r="AH62" i="12"/>
  <c r="AI62" i="12"/>
  <c r="AI7" i="12"/>
  <c r="K25" i="6" s="1"/>
  <c r="K35" i="6"/>
  <c r="K29" i="6"/>
  <c r="K22" i="6"/>
  <c r="K23" i="6"/>
  <c r="K24" i="6"/>
  <c r="A53" i="4"/>
  <c r="A54" i="4" s="1"/>
  <c r="A58" i="4" l="1"/>
  <c r="A10" i="23" s="1"/>
  <c r="A6" i="23"/>
  <c r="E4" i="22"/>
  <c r="M18" i="22"/>
  <c r="M12" i="22"/>
  <c r="M14" i="22"/>
  <c r="K42" i="6"/>
  <c r="M49" i="6"/>
  <c r="M33" i="6"/>
  <c r="L25" i="6"/>
  <c r="L44" i="6"/>
  <c r="R50" i="6"/>
  <c r="R24" i="6"/>
  <c r="Q43" i="6"/>
  <c r="M48" i="6"/>
  <c r="M32" i="6"/>
  <c r="L43" i="6"/>
  <c r="R29" i="6"/>
  <c r="Q24" i="6"/>
  <c r="Q42" i="6"/>
  <c r="K51" i="6"/>
  <c r="M47" i="6"/>
  <c r="L32" i="6"/>
  <c r="L24" i="6"/>
  <c r="L42" i="6"/>
  <c r="Q29" i="6"/>
  <c r="Q41" i="6"/>
  <c r="K50" i="6"/>
  <c r="M46" i="6"/>
  <c r="M31" i="6"/>
  <c r="M23" i="6"/>
  <c r="L41" i="6"/>
  <c r="R47" i="6"/>
  <c r="R35" i="6"/>
  <c r="R23" i="6"/>
  <c r="P43" i="6"/>
  <c r="Q40" i="6"/>
  <c r="K49" i="6"/>
  <c r="M45" i="6"/>
  <c r="L31" i="6"/>
  <c r="L23" i="6"/>
  <c r="R46" i="6"/>
  <c r="Q23" i="6"/>
  <c r="Q39" i="6"/>
  <c r="K48" i="6"/>
  <c r="M44" i="6"/>
  <c r="M30" i="6"/>
  <c r="M22" i="6"/>
  <c r="L39" i="6"/>
  <c r="R45" i="6"/>
  <c r="R34" i="6"/>
  <c r="Q28" i="6"/>
  <c r="P23" i="6"/>
  <c r="P41" i="6"/>
  <c r="Q38" i="6"/>
  <c r="K26" i="6"/>
  <c r="K33" i="6"/>
  <c r="K47" i="6"/>
  <c r="M43" i="6"/>
  <c r="L30" i="6"/>
  <c r="L22" i="6"/>
  <c r="L38" i="6"/>
  <c r="R44" i="6"/>
  <c r="P34" i="6"/>
  <c r="P28" i="6"/>
  <c r="R22" i="6"/>
  <c r="Q32" i="6"/>
  <c r="Q37" i="6"/>
  <c r="K46" i="6"/>
  <c r="M42" i="6"/>
  <c r="M29" i="6"/>
  <c r="L33" i="6"/>
  <c r="L37" i="6"/>
  <c r="R43" i="6"/>
  <c r="R33" i="6"/>
  <c r="R27" i="6"/>
  <c r="Q22" i="6"/>
  <c r="Q36" i="6"/>
  <c r="K28" i="6"/>
  <c r="K27" i="6"/>
  <c r="K32" i="6"/>
  <c r="K41" i="6"/>
  <c r="K45" i="6"/>
  <c r="M41" i="6"/>
  <c r="L29" i="6"/>
  <c r="L36" i="6"/>
  <c r="R42" i="6"/>
  <c r="P33" i="6"/>
  <c r="Q27" i="6"/>
  <c r="P22" i="6"/>
  <c r="Q51" i="6"/>
  <c r="Q35" i="6"/>
  <c r="K40" i="6"/>
  <c r="K44" i="6"/>
  <c r="M40" i="6"/>
  <c r="M28" i="6"/>
  <c r="L51" i="6"/>
  <c r="L35" i="6"/>
  <c r="R41" i="6"/>
  <c r="R32" i="6"/>
  <c r="P27" i="6"/>
  <c r="P40" i="6"/>
  <c r="Q50" i="6"/>
  <c r="Q34" i="6"/>
  <c r="K39" i="6"/>
  <c r="K43" i="6"/>
  <c r="M39" i="6"/>
  <c r="L28" i="6"/>
  <c r="L50" i="6"/>
  <c r="L34" i="6"/>
  <c r="R40" i="6"/>
  <c r="P32" i="6"/>
  <c r="R26" i="6"/>
  <c r="Q49" i="6"/>
  <c r="Q33" i="6"/>
  <c r="K38" i="6"/>
  <c r="L21" i="6"/>
  <c r="M38" i="6"/>
  <c r="M27" i="6"/>
  <c r="L49" i="6"/>
  <c r="P21" i="6"/>
  <c r="R39" i="6"/>
  <c r="R31" i="6"/>
  <c r="Q26" i="6"/>
  <c r="P51" i="6"/>
  <c r="Q48" i="6"/>
  <c r="M21" i="6"/>
  <c r="M37" i="6"/>
  <c r="L27" i="6"/>
  <c r="L48" i="6"/>
  <c r="Q21" i="6"/>
  <c r="P39" i="6"/>
  <c r="Q31" i="6"/>
  <c r="P26" i="6"/>
  <c r="P50" i="6"/>
  <c r="Q47" i="6"/>
  <c r="K36" i="6"/>
  <c r="M36" i="6"/>
  <c r="M26" i="6"/>
  <c r="L47" i="6"/>
  <c r="R21" i="6"/>
  <c r="R38" i="6"/>
  <c r="P31" i="6"/>
  <c r="R25" i="6"/>
  <c r="P49" i="6"/>
  <c r="U49" i="6" s="1"/>
  <c r="Q46" i="6"/>
  <c r="K21" i="6"/>
  <c r="M51" i="6"/>
  <c r="L26" i="6"/>
  <c r="P38" i="6"/>
  <c r="Q25" i="6"/>
  <c r="K30" i="6"/>
  <c r="K31" i="6"/>
  <c r="U44" i="6" l="1"/>
  <c r="U50" i="6"/>
  <c r="U27" i="6"/>
  <c r="U45" i="6"/>
  <c r="U46" i="6"/>
  <c r="U36" i="6"/>
  <c r="U25" i="6"/>
  <c r="U26" i="6"/>
  <c r="U40" i="6"/>
  <c r="U33" i="6"/>
  <c r="U42" i="6"/>
  <c r="U35" i="6"/>
  <c r="U51" i="6"/>
  <c r="U32" i="6"/>
  <c r="U24" i="6"/>
  <c r="U41" i="6"/>
  <c r="U23" i="6"/>
  <c r="U39" i="6"/>
  <c r="U29" i="6"/>
  <c r="U38" i="6"/>
  <c r="U43" i="6"/>
  <c r="U37" i="6"/>
  <c r="U28" i="6"/>
  <c r="U48" i="6"/>
  <c r="U47" i="6"/>
  <c r="U34" i="6"/>
  <c r="U31" i="6"/>
  <c r="U30" i="6"/>
  <c r="D53" i="6"/>
  <c r="D54" i="6"/>
  <c r="C54" i="6"/>
  <c r="C53" i="6"/>
  <c r="C25" i="6" l="1"/>
  <c r="D21" i="6"/>
  <c r="C24" i="6"/>
  <c r="C26" i="6"/>
  <c r="E26" i="6" s="1"/>
  <c r="D42" i="6"/>
  <c r="D32" i="6"/>
  <c r="C30" i="6"/>
  <c r="D30" i="6"/>
  <c r="D40" i="6"/>
  <c r="C51" i="6"/>
  <c r="D50" i="6"/>
  <c r="C45" i="6"/>
  <c r="D28" i="6"/>
  <c r="C44" i="6"/>
  <c r="E44" i="6" s="1"/>
  <c r="D38" i="6"/>
  <c r="C43" i="6"/>
  <c r="E43" i="6" s="1"/>
  <c r="D48" i="6"/>
  <c r="C42" i="6"/>
  <c r="D26" i="6"/>
  <c r="C41" i="6"/>
  <c r="E41" i="6" s="1"/>
  <c r="D36" i="6"/>
  <c r="C40" i="6"/>
  <c r="D46" i="6"/>
  <c r="C35" i="6"/>
  <c r="E35" i="6" s="1"/>
  <c r="D24" i="6"/>
  <c r="C29" i="6"/>
  <c r="E29" i="6" s="1"/>
  <c r="D34" i="6"/>
  <c r="C28" i="6"/>
  <c r="D44" i="6"/>
  <c r="D22" i="6"/>
  <c r="C27" i="6"/>
  <c r="E27" i="6" s="1"/>
  <c r="C39" i="6"/>
  <c r="E39" i="6" s="1"/>
  <c r="C23" i="6"/>
  <c r="C38" i="6"/>
  <c r="C22" i="6"/>
  <c r="C37" i="6"/>
  <c r="C36" i="6"/>
  <c r="E36" i="6" s="1"/>
  <c r="C50" i="6"/>
  <c r="C34" i="6"/>
  <c r="C49" i="6"/>
  <c r="C33" i="6"/>
  <c r="E33" i="6" s="1"/>
  <c r="C48" i="6"/>
  <c r="E48" i="6" s="1"/>
  <c r="C32" i="6"/>
  <c r="E32" i="6" s="1"/>
  <c r="D51" i="6"/>
  <c r="D49" i="6"/>
  <c r="D47" i="6"/>
  <c r="D45" i="6"/>
  <c r="D43" i="6"/>
  <c r="D41" i="6"/>
  <c r="D39" i="6"/>
  <c r="D37" i="6"/>
  <c r="D35" i="6"/>
  <c r="D33" i="6"/>
  <c r="D31" i="6"/>
  <c r="D29" i="6"/>
  <c r="D27" i="6"/>
  <c r="D25" i="6"/>
  <c r="D23" i="6"/>
  <c r="C47" i="6"/>
  <c r="C31" i="6"/>
  <c r="E31" i="6" s="1"/>
  <c r="C46" i="6"/>
  <c r="E46" i="6" s="1"/>
  <c r="R47" i="11"/>
  <c r="A25" i="4" s="1"/>
  <c r="A27" i="4" s="1"/>
  <c r="A26" i="4"/>
  <c r="A28" i="4" s="1"/>
  <c r="A31" i="4" s="1"/>
  <c r="A35" i="4" s="1"/>
  <c r="F32" i="6" l="1"/>
  <c r="F46" i="6"/>
  <c r="F31" i="6"/>
  <c r="F48" i="6"/>
  <c r="F27" i="6"/>
  <c r="F33" i="6"/>
  <c r="F35" i="6"/>
  <c r="F39" i="6"/>
  <c r="F44" i="6"/>
  <c r="F26" i="6"/>
  <c r="F43" i="6"/>
  <c r="F29" i="6"/>
  <c r="F36" i="6"/>
  <c r="F41" i="6"/>
  <c r="E28" i="6"/>
  <c r="E45" i="6"/>
  <c r="E47" i="6"/>
  <c r="E51" i="6"/>
  <c r="E24" i="6"/>
  <c r="E49" i="6"/>
  <c r="E34" i="6"/>
  <c r="E50" i="6"/>
  <c r="E30" i="6"/>
  <c r="E40" i="6"/>
  <c r="E37" i="6"/>
  <c r="E22" i="6"/>
  <c r="E38" i="6"/>
  <c r="E42" i="6"/>
  <c r="E23" i="6"/>
  <c r="E25" i="6"/>
  <c r="V48" i="11"/>
  <c r="T48" i="11"/>
  <c r="U48" i="11"/>
  <c r="A66" i="4"/>
  <c r="F22" i="6" l="1"/>
  <c r="F47" i="6"/>
  <c r="F28" i="6"/>
  <c r="F37" i="6"/>
  <c r="F50" i="6"/>
  <c r="F45" i="6"/>
  <c r="F38" i="6"/>
  <c r="F42" i="6"/>
  <c r="F25" i="6"/>
  <c r="F40" i="6"/>
  <c r="F30" i="6"/>
  <c r="F34" i="6"/>
  <c r="F49" i="6"/>
  <c r="F24" i="6"/>
  <c r="F23" i="6"/>
  <c r="F51" i="6"/>
  <c r="A73" i="4" l="1"/>
  <c r="A72" i="4"/>
  <c r="A41" i="4"/>
  <c r="A42" i="4"/>
  <c r="B33" i="2"/>
  <c r="E6" i="22" l="1"/>
  <c r="A77" i="4" l="1"/>
  <c r="A37" i="4"/>
  <c r="A36" i="4"/>
  <c r="A46" i="4" l="1"/>
  <c r="H6" i="6" s="1"/>
  <c r="G6" i="6"/>
  <c r="I35" i="6" s="1"/>
  <c r="A17" i="4"/>
  <c r="V22" i="6"/>
  <c r="C3" i="18"/>
  <c r="A11" i="23"/>
  <c r="C4" i="18"/>
  <c r="A12" i="23"/>
  <c r="C5" i="18"/>
  <c r="A13" i="23"/>
  <c r="V49" i="6"/>
  <c r="V25" i="6"/>
  <c r="V42" i="6"/>
  <c r="V40" i="6"/>
  <c r="V26" i="6"/>
  <c r="V37" i="6"/>
  <c r="V36" i="6"/>
  <c r="V48" i="6"/>
  <c r="V45" i="6"/>
  <c r="V27" i="6"/>
  <c r="V38" i="6"/>
  <c r="V46" i="6"/>
  <c r="V24" i="6"/>
  <c r="V32" i="6"/>
  <c r="V33" i="6"/>
  <c r="V30" i="6"/>
  <c r="V34" i="6"/>
  <c r="V47" i="6"/>
  <c r="V29" i="6"/>
  <c r="V43" i="6"/>
  <c r="V50" i="6"/>
  <c r="V41" i="6"/>
  <c r="V39" i="6"/>
  <c r="V23" i="6"/>
  <c r="V35" i="6"/>
  <c r="V51" i="6"/>
  <c r="V28" i="6"/>
  <c r="V44" i="6"/>
  <c r="V31" i="6"/>
  <c r="I28" i="6" l="1"/>
  <c r="I43" i="6"/>
  <c r="I39" i="6"/>
  <c r="I45" i="6"/>
  <c r="I26" i="6"/>
  <c r="I46" i="6"/>
  <c r="I29" i="6"/>
  <c r="I24" i="6"/>
  <c r="I44" i="6"/>
  <c r="I41" i="6"/>
  <c r="I49" i="6"/>
  <c r="I38" i="6"/>
  <c r="I25" i="6"/>
  <c r="I32" i="6"/>
  <c r="I42" i="6"/>
  <c r="I30" i="6"/>
  <c r="I47" i="6"/>
  <c r="I36" i="6"/>
  <c r="I51" i="6"/>
  <c r="I27" i="6"/>
  <c r="I23" i="6"/>
  <c r="I37" i="6"/>
  <c r="I50" i="6"/>
  <c r="I31" i="6"/>
  <c r="I34" i="6"/>
  <c r="A82" i="4"/>
  <c r="A85" i="4" s="1"/>
  <c r="A14" i="23" s="1"/>
  <c r="AL30" i="6"/>
  <c r="AL46" i="6"/>
  <c r="AL31" i="6"/>
  <c r="AL47" i="6"/>
  <c r="AL48" i="6"/>
  <c r="AL33" i="6"/>
  <c r="AL51" i="6"/>
  <c r="AL37" i="6"/>
  <c r="AL38" i="6"/>
  <c r="AL40" i="6"/>
  <c r="AL41" i="6"/>
  <c r="AL42" i="6"/>
  <c r="AL28" i="6"/>
  <c r="AL45" i="6"/>
  <c r="AL32" i="6"/>
  <c r="AL49" i="6"/>
  <c r="AL50" i="6"/>
  <c r="AL39" i="6"/>
  <c r="I22" i="6"/>
  <c r="AL43" i="6"/>
  <c r="AL44" i="6"/>
  <c r="AL29" i="6"/>
  <c r="AL34" i="6"/>
  <c r="AL35" i="6"/>
  <c r="AL36" i="6"/>
  <c r="AL22" i="6"/>
  <c r="AL23" i="6"/>
  <c r="AL24" i="6"/>
  <c r="AL25" i="6"/>
  <c r="AL26" i="6"/>
  <c r="AL27" i="6"/>
  <c r="I40" i="6"/>
  <c r="I48" i="6"/>
  <c r="I33" i="6"/>
  <c r="F4" i="22"/>
  <c r="F6" i="22" s="1"/>
  <c r="A8" i="23"/>
  <c r="A19" i="4" l="1"/>
  <c r="A20" i="4" s="1"/>
  <c r="J4" i="22"/>
  <c r="J6" i="22" s="1"/>
  <c r="A19" i="23"/>
  <c r="C2" i="18"/>
  <c r="A13" i="4" l="1"/>
  <c r="G4" i="22" s="1"/>
  <c r="A9" i="23"/>
  <c r="C1" i="18" l="1"/>
  <c r="A7" i="23"/>
  <c r="G6" i="22"/>
  <c r="H4" i="22"/>
  <c r="A17" i="23" s="1"/>
  <c r="I4" i="22"/>
  <c r="I6" i="22" s="1"/>
  <c r="H6" i="22"/>
  <c r="D5" i="18"/>
  <c r="D4" i="18"/>
  <c r="D3" i="18"/>
  <c r="D2" i="18"/>
  <c r="A18"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kd3</author>
  </authors>
  <commentList>
    <comment ref="C8" authorId="0" shapeId="0" xr:uid="{961B8635-6835-4372-BD2E-5DD77759EB7A}">
      <text>
        <r>
          <rPr>
            <sz val="8"/>
            <color indexed="81"/>
            <rFont val="Tahoma"/>
            <family val="2"/>
          </rPr>
          <t>Last Updated: 2/14/2011 12:18:04 PM</t>
        </r>
      </text>
    </comment>
    <comment ref="D8" authorId="0" shapeId="0" xr:uid="{E3463561-BB54-4CBB-9084-B3673FD999C4}">
      <text>
        <r>
          <rPr>
            <sz val="8"/>
            <color indexed="81"/>
            <rFont val="Tahoma"/>
            <family val="2"/>
          </rPr>
          <t>Last Updated: 2/14/2011 12:18:04 PM</t>
        </r>
      </text>
    </comment>
    <comment ref="C9" authorId="0" shapeId="0" xr:uid="{4B6BE069-A3A4-45E6-B538-DCD5AC9415A1}">
      <text>
        <r>
          <rPr>
            <sz val="8"/>
            <color indexed="81"/>
            <rFont val="Tahoma"/>
            <family val="2"/>
          </rPr>
          <t>Last Updated: 2/14/2011 12:18:04 PM</t>
        </r>
      </text>
    </comment>
    <comment ref="D9" authorId="0" shapeId="0" xr:uid="{B7C3D247-080E-457B-AC08-135EEE7D5785}">
      <text>
        <r>
          <rPr>
            <sz val="8"/>
            <color indexed="81"/>
            <rFont val="Tahoma"/>
            <family val="2"/>
          </rPr>
          <t>Last Updated: 2/14/2011 12:18:04 PM</t>
        </r>
      </text>
    </comment>
    <comment ref="C12" authorId="0" shapeId="0" xr:uid="{F2C5ADDB-03CA-4913-BA55-82AA50297077}">
      <text>
        <r>
          <rPr>
            <sz val="8"/>
            <color indexed="81"/>
            <rFont val="Tahoma"/>
            <family val="2"/>
          </rPr>
          <t>Last Updated: 2/14/2011 12:18:04 PM</t>
        </r>
      </text>
    </comment>
    <comment ref="D12" authorId="0" shapeId="0" xr:uid="{E583A513-76C2-4AAF-AF28-09FA28E539C4}">
      <text>
        <r>
          <rPr>
            <sz val="8"/>
            <color indexed="81"/>
            <rFont val="Tahoma"/>
            <family val="2"/>
          </rPr>
          <t>Last Updated: 2/14/2011 12:18:04 PM</t>
        </r>
      </text>
    </comment>
  </commentList>
</comments>
</file>

<file path=xl/sharedStrings.xml><?xml version="1.0" encoding="utf-8"?>
<sst xmlns="http://schemas.openxmlformats.org/spreadsheetml/2006/main" count="4035" uniqueCount="751">
  <si>
    <t>Tool for estimating avoided GHG emissions from an agricultural conservation easement on the Bishop Farm in East Peoria, Tazewell County, IL, USA.</t>
  </si>
  <si>
    <t>Developed for The Conservation Fund by American Farmland Trust in November 2022</t>
  </si>
  <si>
    <t xml:space="preserve">Follows 2020 Quantitative Methodology from California Air Resource Board https://ww2.arb.ca.gov/sites/default/files/classic/cc/capandtrade/auctionproceeds/alc_qm_final_2020.pdf </t>
  </si>
  <si>
    <r>
      <t>But modifies calculation of VMT and AVEF</t>
    </r>
    <r>
      <rPr>
        <vertAlign val="subscript"/>
        <sz val="11"/>
        <color theme="1"/>
        <rFont val="Roboto"/>
      </rPr>
      <t>Yr, County</t>
    </r>
    <r>
      <rPr>
        <sz val="11"/>
        <color theme="1"/>
        <rFont val="Roboto"/>
      </rPr>
      <t xml:space="preserve"> due to differences in data availability in California compared to Illinois.</t>
    </r>
  </si>
  <si>
    <t>See documentation in accompanying report and a video tutorial for using this spreadsheet at: www.farmlandinfo.org/publications/ag-easement-mitigation-case-study-IL</t>
  </si>
  <si>
    <t>Brief instructions</t>
  </si>
  <si>
    <t>Tab 1 requires information about easement parcel and use of ArcGIS to estimate housing density on the parcel if it were developed, population density, and soil type.</t>
  </si>
  <si>
    <t>Tab 2 uses several reference values that could change with new location, along with inputs in Tab 1, to calculate estimates</t>
  </si>
  <si>
    <t>Tab 3 summarizes the results</t>
  </si>
  <si>
    <t>Remaining tabs are part of calculations or provide reference values. Look for notes at top of each reference sheet providing data source information.</t>
  </si>
  <si>
    <t>1-Inputs</t>
  </si>
  <si>
    <t>## This tab goes through the CARB Method equations listed on pages 19-24 in "SALC Methodology 2020.pdf".</t>
  </si>
  <si>
    <t>## It draws on calculations and reference values in other tabs.</t>
  </si>
  <si>
    <t>Color Key</t>
  </si>
  <si>
    <t>calculated value</t>
  </si>
  <si>
    <t>reference value to enter might change with new parcel</t>
  </si>
  <si>
    <t>value to report</t>
  </si>
  <si>
    <t>1) Number of development rights extinguished by easement</t>
  </si>
  <si>
    <t>Variable</t>
  </si>
  <si>
    <t>Response</t>
  </si>
  <si>
    <t>Source and notes</t>
  </si>
  <si>
    <t>Is a number of dwelling units stated in a zoning proposal or land use plan for the site?</t>
  </si>
  <si>
    <t>No</t>
  </si>
  <si>
    <t>If yes, what is the number of DU?</t>
  </si>
  <si>
    <t>NA</t>
  </si>
  <si>
    <t>If no, will the area be developed as residential or rural residential?</t>
  </si>
  <si>
    <t>Residential</t>
  </si>
  <si>
    <t>"February 1, 2016 Revised Comprehensive Plan.pdf" farm location as low density residential (yellow on map on page 7)</t>
  </si>
  <si>
    <r>
      <t xml:space="preserve">Steps to calculate DU extinguished using ArcGIS, adapted from CARB QM for "Dwelling Unit Calculation for Risk of Conversion to [non-rural] Residential Areas." </t>
    </r>
    <r>
      <rPr>
        <b/>
        <sz val="11"/>
        <color rgb="FFFF0000"/>
        <rFont val="Roboto"/>
      </rPr>
      <t xml:space="preserve">IMPORTANT: If using this for a different parcel that is at risk of conversion to </t>
    </r>
    <r>
      <rPr>
        <b/>
        <u/>
        <sz val="11"/>
        <color rgb="FFFF0000"/>
        <rFont val="Roboto"/>
      </rPr>
      <t>rural</t>
    </r>
    <r>
      <rPr>
        <b/>
        <sz val="11"/>
        <color rgb="FFFF0000"/>
        <rFont val="Roboto"/>
      </rPr>
      <t xml:space="preserve"> residential zoning, do not use this step 1, refer to pages 10-11 in the QM here https://ww2.arb.ca.gov/sites/default/files/auction-proceeds/alc_qm_final_2020.pdf </t>
    </r>
  </si>
  <si>
    <t>1.  Assess parcel size compared to 'communities' within 2 miles of parcel</t>
  </si>
  <si>
    <t>Parcels (103 ac) smaller than any 'communities' within 2 mi</t>
  </si>
  <si>
    <t>Parcel data from Tazewell County</t>
  </si>
  <si>
    <t>2. Assess parcel for slope grades exceeding 15%</t>
  </si>
  <si>
    <t>No slope exceeding 15% on parcel</t>
  </si>
  <si>
    <t>NED DEM</t>
  </si>
  <si>
    <t>3. As a proxy for 'residential zones', locate census tracts within 2 miles of parcel</t>
  </si>
  <si>
    <t>Census Tract Yr Structure Built</t>
  </si>
  <si>
    <t>American Community Survey</t>
  </si>
  <si>
    <t xml:space="preserve">4. Define 'newest residential zone ' as census tract with greatest number of housing units build in the year 2014 or later </t>
  </si>
  <si>
    <t>Census tract 215</t>
  </si>
  <si>
    <t>5.Within this census tract AND within 2 miles of the Parcel, select existing lands zoned as low density residential from the Tazewell county zoning data</t>
  </si>
  <si>
    <t>Acres zoned low density residential, Tazewell county zoning layer</t>
  </si>
  <si>
    <t xml:space="preserve">6. Within the low density residential areas identified in step 5, select existing residential structures, removing those less than 1000 sqft </t>
  </si>
  <si>
    <t>Number of residential structures, filtered to remove structures less than 1,000  and greater than 10,000 sq ft cutoff to try to remove sheds and out buildings, may remove some residences as well</t>
  </si>
  <si>
    <t xml:space="preserve">7. Calculate DU/ac based on total acreage (step 5) and number of residences (step 6) </t>
  </si>
  <si>
    <t>DU/ac</t>
  </si>
  <si>
    <t>8. Acres of project site evaluated for housing development (acres of easement)</t>
  </si>
  <si>
    <t>ac</t>
  </si>
  <si>
    <t>9. Number of household dwelling unit development rights extinguished at the site</t>
  </si>
  <si>
    <t>DU or HH</t>
  </si>
  <si>
    <t>2) Urban or rural designation for project site according to US Census Bureau</t>
  </si>
  <si>
    <t>Visit the 2020 Census Demographic Data Map Viewer, plug in the address, and see 2020 Census data</t>
  </si>
  <si>
    <t>Population density for parcel census tract</t>
  </si>
  <si>
    <t>2020 Census Demographic Data Map Viewer</t>
  </si>
  <si>
    <t>Rural or Urban?</t>
  </si>
  <si>
    <t>This is used in equations 3-6</t>
  </si>
  <si>
    <t>3) Project soil type</t>
  </si>
  <si>
    <t>steps (also see SALC method page 14-17)</t>
  </si>
  <si>
    <t>step 1: Open https://casoilresource.lawr.ucdavis.edu/gmap/  , click on Menu &gt; Zoom to Location, enter parcel's address or Lat Lon, and click Go. Note the address might not take you to exactly the parcel, so drag the map around to see the parcel.</t>
  </si>
  <si>
    <t>step 2: Click on the map in the shape that covers the most acreage in the parcel. Soil info for that shape will appear to the left. Under Map Unit Composition, click on the top soil name.</t>
  </si>
  <si>
    <t>step 3: Under Soil Taxonomy, copy and paste the Order name into the yellow cell below (A30). (pasting the name exactly is important for cell B30 to work)</t>
  </si>
  <si>
    <t>step 4: Consult table at right to find the IPCC soil type for your soil Order.</t>
  </si>
  <si>
    <t>Soil order</t>
  </si>
  <si>
    <t>IPCC soil type</t>
  </si>
  <si>
    <t>Alfisols, Aridisols, Inceptisols, Mollisols, Vertisols</t>
  </si>
  <si>
    <t>4) Parcel Zip code</t>
  </si>
  <si>
    <t>Used to look up power grid emissions info</t>
  </si>
  <si>
    <t>2-Equations</t>
  </si>
  <si>
    <t>From Tab "1-Inputs"</t>
  </si>
  <si>
    <t>HH = (households), i.e. Number of dwelling unit development rights extinguished by easement (from "1-Inputs")</t>
  </si>
  <si>
    <t>Equation 1: Total GHG Benefit from Ag land easement</t>
  </si>
  <si>
    <r>
      <t>GHG</t>
    </r>
    <r>
      <rPr>
        <b/>
        <vertAlign val="subscript"/>
        <sz val="11"/>
        <color theme="1"/>
        <rFont val="Roboto"/>
      </rPr>
      <t>ESMT</t>
    </r>
    <r>
      <rPr>
        <b/>
        <sz val="11"/>
        <color theme="1"/>
        <rFont val="Roboto"/>
      </rPr>
      <t xml:space="preserve"> (t CO</t>
    </r>
    <r>
      <rPr>
        <b/>
        <vertAlign val="subscript"/>
        <sz val="11"/>
        <color theme="1"/>
        <rFont val="Roboto"/>
      </rPr>
      <t>2</t>
    </r>
    <r>
      <rPr>
        <b/>
        <sz val="11"/>
        <color theme="1"/>
        <rFont val="Roboto"/>
      </rPr>
      <t>e) for 30 years of the easement</t>
    </r>
  </si>
  <si>
    <t>Equation 2: GHG Benefit from VMT Reduction due to Agricultural Land Easement</t>
  </si>
  <si>
    <t>Note: the SALC method uses county and year specific emission factors. We have calculated a nation- and year- specific EF in a simpler way see tab "MPG &amp; AVEFs by yr" and Methods section of Report.</t>
  </si>
  <si>
    <t>VMT avoided</t>
  </si>
  <si>
    <t>conversion from g to MT</t>
  </si>
  <si>
    <t>Sum of CO2 g for 2022-2052</t>
  </si>
  <si>
    <r>
      <t>(t CO</t>
    </r>
    <r>
      <rPr>
        <b/>
        <vertAlign val="subscript"/>
        <sz val="11"/>
        <color theme="1"/>
        <rFont val="Roboto"/>
      </rPr>
      <t>2</t>
    </r>
    <r>
      <rPr>
        <b/>
        <sz val="11"/>
        <color theme="1"/>
        <rFont val="Roboto"/>
      </rPr>
      <t>e) GHG</t>
    </r>
    <r>
      <rPr>
        <b/>
        <vertAlign val="subscript"/>
        <sz val="11"/>
        <color theme="1"/>
        <rFont val="Roboto"/>
      </rPr>
      <t>VMT</t>
    </r>
  </si>
  <si>
    <t xml:space="preserve">Equation 3: Baseline VMT for Development on Ag Land </t>
  </si>
  <si>
    <t>Average daily vehicle miles of travel in Tazewell County in 2012-2019 (years data available and excluding 2020 and 2021 pandemic year outliers) according to previous Illinois Travel Statistics reports</t>
  </si>
  <si>
    <t>Annual VMT Tazewell County 2021</t>
  </si>
  <si>
    <t>Proportion IL AVMT urban from IL Travel Statistics</t>
  </si>
  <si>
    <t>Proportion IL AVMT rural from IL Travel Statistics</t>
  </si>
  <si>
    <t>Weighted estimate of urban VMT in Tazewell Co.</t>
  </si>
  <si>
    <t>Weighted estimate of rural VMT in Tazewell Co.</t>
  </si>
  <si>
    <t>Proportion of state VMT by passenger vehicles</t>
  </si>
  <si>
    <t>Weighted estimate of urban VMT in Tazewell Co. by passenger vehicles</t>
  </si>
  <si>
    <t>Weighted estimate of rural VMT in Tazewell Co. by passenger vehicles</t>
  </si>
  <si>
    <t>Tazewell County Urban housing units (urban areas + urban clusters) from 2010 Decennial Census (latest data available)</t>
  </si>
  <si>
    <t>Warning: This is an imperfect way of partitioning miles traveled by urban and rural households (i.e., miles traveled on rural roads are not necessarily all the miles traveled by rural HH vehicles) but it's the best we have for IL.</t>
  </si>
  <si>
    <t>Tazewell County Rural housing units from 2010 Decennial Census (latest data available)</t>
  </si>
  <si>
    <t>Estimated VMT per urban household in Tazewell Co.</t>
  </si>
  <si>
    <t>Estimated VMT per rural household in Tazewell Co.</t>
  </si>
  <si>
    <r>
      <t>VMTPR</t>
    </r>
    <r>
      <rPr>
        <vertAlign val="subscript"/>
        <sz val="11"/>
        <color theme="1"/>
        <rFont val="Roboto"/>
      </rPr>
      <t xml:space="preserve"> urban</t>
    </r>
    <r>
      <rPr>
        <sz val="11"/>
        <color theme="1"/>
        <rFont val="Roboto"/>
      </rPr>
      <t xml:space="preserve"> = Baseline urban VMT for easement</t>
    </r>
  </si>
  <si>
    <r>
      <t>(miles) VMT</t>
    </r>
    <r>
      <rPr>
        <b/>
        <vertAlign val="subscript"/>
        <sz val="11"/>
        <color theme="1"/>
        <rFont val="Roboto"/>
      </rPr>
      <t>BL rural</t>
    </r>
    <r>
      <rPr>
        <b/>
        <sz val="11"/>
        <color theme="1"/>
        <rFont val="Roboto"/>
      </rPr>
      <t xml:space="preserve"> = Baseline rural annual VMT for easement</t>
    </r>
  </si>
  <si>
    <t>Data check:</t>
  </si>
  <si>
    <t>IL average number of vehicles per URBAN household  - for reference not used in calculation</t>
  </si>
  <si>
    <t>currently not part of the VMT calculation but here for reference</t>
  </si>
  <si>
    <t xml:space="preserve">IL average number of vehicles per RURAL household - for reference not used in calculation </t>
  </si>
  <si>
    <t>(Internal reality check: estimated VMT per household vehicle in urban Tazewell Co., should be in the 12-15k mile range)</t>
  </si>
  <si>
    <t>(Internal reality check: estimated VMT per household vehicle in rural Tazewell Co., should be in the 12-15k mile range)</t>
  </si>
  <si>
    <t>Equation 4: Project VMT due to Agricultural Land Easement</t>
  </si>
  <si>
    <t>This is the estimated VMT that would come from creating a new housing development away from the easement site in a regional urban location. Note: following the equation for rural sites</t>
  </si>
  <si>
    <r>
      <t>(miles) VMT</t>
    </r>
    <r>
      <rPr>
        <b/>
        <vertAlign val="subscript"/>
        <sz val="11"/>
        <color theme="1"/>
        <rFont val="Roboto"/>
      </rPr>
      <t>PR</t>
    </r>
    <r>
      <rPr>
        <b/>
        <sz val="11"/>
        <color theme="1"/>
        <rFont val="Roboto"/>
      </rPr>
      <t xml:space="preserve"> = Baseline urban annual VMT for easement</t>
    </r>
  </si>
  <si>
    <t>Equation 5: GHG Benefit from Reduced Future Electrical Use</t>
  </si>
  <si>
    <t>Reduction in future electricity use by HHs located in urban regions instead of at easement site.</t>
  </si>
  <si>
    <t>variable</t>
  </si>
  <si>
    <t>meaning</t>
  </si>
  <si>
    <t>source</t>
  </si>
  <si>
    <r>
      <t>(lb CO</t>
    </r>
    <r>
      <rPr>
        <vertAlign val="subscript"/>
        <sz val="11"/>
        <color theme="1"/>
        <rFont val="Roboto"/>
      </rPr>
      <t>2</t>
    </r>
    <r>
      <rPr>
        <sz val="11"/>
        <color theme="1"/>
        <rFont val="Roboto"/>
      </rPr>
      <t xml:space="preserve"> MWh</t>
    </r>
    <r>
      <rPr>
        <vertAlign val="superscript"/>
        <sz val="11"/>
        <color theme="1"/>
        <rFont val="Roboto"/>
      </rPr>
      <t>-1</t>
    </r>
    <r>
      <rPr>
        <sz val="11"/>
        <color theme="1"/>
        <rFont val="Roboto"/>
      </rPr>
      <t>) Grid EF</t>
    </r>
  </si>
  <si>
    <t>Emission rate of CO2 per unit energy used</t>
  </si>
  <si>
    <t>EPA</t>
  </si>
  <si>
    <t>https://www.epa.gov/egrid/power-profiler#</t>
  </si>
  <si>
    <t>t per lb</t>
  </si>
  <si>
    <r>
      <t>(t CO</t>
    </r>
    <r>
      <rPr>
        <vertAlign val="subscript"/>
        <sz val="11"/>
        <color theme="1"/>
        <rFont val="Roboto"/>
      </rPr>
      <t>2</t>
    </r>
    <r>
      <rPr>
        <sz val="11"/>
        <color theme="1"/>
        <rFont val="Roboto"/>
      </rPr>
      <t>e MWh</t>
    </r>
    <r>
      <rPr>
        <vertAlign val="superscript"/>
        <sz val="11"/>
        <color theme="1"/>
        <rFont val="Roboto"/>
      </rPr>
      <t>-1</t>
    </r>
    <r>
      <rPr>
        <sz val="11"/>
        <color theme="1"/>
        <rFont val="Roboto"/>
      </rPr>
      <t>) EF</t>
    </r>
    <r>
      <rPr>
        <vertAlign val="subscript"/>
        <sz val="11"/>
        <color theme="1"/>
        <rFont val="Roboto"/>
      </rPr>
      <t>ELEC</t>
    </r>
    <r>
      <rPr>
        <sz val="11"/>
        <color theme="1"/>
        <rFont val="Roboto"/>
      </rPr>
      <t xml:space="preserve"> </t>
    </r>
  </si>
  <si>
    <r>
      <t>(MWh DU</t>
    </r>
    <r>
      <rPr>
        <vertAlign val="superscript"/>
        <sz val="11"/>
        <color theme="1"/>
        <rFont val="Roboto"/>
      </rPr>
      <t>-1</t>
    </r>
    <r>
      <rPr>
        <sz val="11"/>
        <color theme="1"/>
        <rFont val="Roboto"/>
      </rPr>
      <t xml:space="preserve"> yr</t>
    </r>
    <r>
      <rPr>
        <vertAlign val="superscript"/>
        <sz val="11"/>
        <color theme="1"/>
        <rFont val="Roboto"/>
      </rPr>
      <t>-1</t>
    </r>
    <r>
      <rPr>
        <sz val="11"/>
        <color theme="1"/>
        <rFont val="Roboto"/>
      </rPr>
      <t>) ELEC</t>
    </r>
    <r>
      <rPr>
        <vertAlign val="subscript"/>
        <sz val="11"/>
        <color theme="1"/>
        <rFont val="Roboto"/>
      </rPr>
      <t>BL</t>
    </r>
    <r>
      <rPr>
        <sz val="11"/>
        <color theme="1"/>
        <rFont val="Roboto"/>
      </rPr>
      <t xml:space="preserve"> </t>
    </r>
  </si>
  <si>
    <t>annual new single family HH rural electrical consumption for rural sites in the Midwest</t>
  </si>
  <si>
    <t>EIA</t>
  </si>
  <si>
    <t>https://www.eia.gov/consumption/residential/data/2015/c&amp;e/pdf/ce1.3.pdf</t>
  </si>
  <si>
    <t>Note: Btu converted to Mwh</t>
  </si>
  <si>
    <r>
      <t>(MWh DU</t>
    </r>
    <r>
      <rPr>
        <vertAlign val="superscript"/>
        <sz val="11"/>
        <color theme="1"/>
        <rFont val="Roboto"/>
      </rPr>
      <t>-1</t>
    </r>
    <r>
      <rPr>
        <sz val="11"/>
        <color theme="1"/>
        <rFont val="Roboto"/>
      </rPr>
      <t xml:space="preserve"> yr</t>
    </r>
    <r>
      <rPr>
        <vertAlign val="superscript"/>
        <sz val="11"/>
        <color theme="1"/>
        <rFont val="Roboto"/>
      </rPr>
      <t>-1</t>
    </r>
    <r>
      <rPr>
        <sz val="11"/>
        <color theme="1"/>
        <rFont val="Roboto"/>
      </rPr>
      <t>) ELEC</t>
    </r>
    <r>
      <rPr>
        <vertAlign val="subscript"/>
        <sz val="11"/>
        <color theme="1"/>
        <rFont val="Roboto"/>
      </rPr>
      <t>PR</t>
    </r>
    <r>
      <rPr>
        <sz val="11"/>
        <color theme="1"/>
        <rFont val="Roboto"/>
      </rPr>
      <t xml:space="preserve"> </t>
    </r>
  </si>
  <si>
    <t>annual new single family HH urban electrical consumption in the Midwest</t>
  </si>
  <si>
    <r>
      <t>(t CO</t>
    </r>
    <r>
      <rPr>
        <b/>
        <vertAlign val="subscript"/>
        <sz val="11"/>
        <color theme="1"/>
        <rFont val="Roboto"/>
      </rPr>
      <t>2</t>
    </r>
    <r>
      <rPr>
        <b/>
        <sz val="11"/>
        <color theme="1"/>
        <rFont val="Roboto"/>
      </rPr>
      <t>e) GHG</t>
    </r>
    <r>
      <rPr>
        <b/>
        <vertAlign val="subscript"/>
        <sz val="11"/>
        <color theme="1"/>
        <rFont val="Roboto"/>
      </rPr>
      <t>ELEC</t>
    </r>
    <r>
      <rPr>
        <b/>
        <sz val="11"/>
        <color theme="1"/>
        <rFont val="Roboto"/>
      </rPr>
      <t xml:space="preserve"> </t>
    </r>
  </si>
  <si>
    <t>applies to Illinois only (combination of grid data--grid is mostly SE states--and Midwestern energy use data), redo for other Midwestern states</t>
  </si>
  <si>
    <t>Note: Project life of an agricultural lands easement, 30 years</t>
  </si>
  <si>
    <t>MWh avoided electricity consumption</t>
  </si>
  <si>
    <t>Equation 6: Emission Reductions from Natural Gas Use</t>
  </si>
  <si>
    <t>In rural areas, some homes use propane for heat, which has greater emissions per unit heat than natural gas, which urban homes use.</t>
  </si>
  <si>
    <r>
      <t>EF</t>
    </r>
    <r>
      <rPr>
        <b/>
        <vertAlign val="subscript"/>
        <sz val="11"/>
        <color theme="1"/>
        <rFont val="Roboto"/>
      </rPr>
      <t>BL</t>
    </r>
    <r>
      <rPr>
        <b/>
        <sz val="11"/>
        <color theme="1"/>
        <rFont val="Roboto"/>
      </rPr>
      <t xml:space="preserve"> (t CO</t>
    </r>
    <r>
      <rPr>
        <b/>
        <vertAlign val="subscript"/>
        <sz val="11"/>
        <color theme="1"/>
        <rFont val="Roboto"/>
      </rPr>
      <t>2</t>
    </r>
    <r>
      <rPr>
        <b/>
        <sz val="11"/>
        <color theme="1"/>
        <rFont val="Roboto"/>
      </rPr>
      <t>e/therm) propane</t>
    </r>
  </si>
  <si>
    <t>QM EF Database (cci_emissionfactordatabase_2022-11-30.xlsx see "Propane" tab)</t>
  </si>
  <si>
    <r>
      <t>EF</t>
    </r>
    <r>
      <rPr>
        <b/>
        <vertAlign val="subscript"/>
        <sz val="11"/>
        <color theme="1"/>
        <rFont val="Roboto"/>
      </rPr>
      <t>PR</t>
    </r>
    <r>
      <rPr>
        <b/>
        <sz val="11"/>
        <color theme="1"/>
        <rFont val="Roboto"/>
      </rPr>
      <t xml:space="preserve"> (t CO</t>
    </r>
    <r>
      <rPr>
        <b/>
        <vertAlign val="subscript"/>
        <sz val="11"/>
        <color theme="1"/>
        <rFont val="Roboto"/>
      </rPr>
      <t>2</t>
    </r>
    <r>
      <rPr>
        <b/>
        <sz val="11"/>
        <color theme="1"/>
        <rFont val="Roboto"/>
      </rPr>
      <t>e/therm) natural gas</t>
    </r>
  </si>
  <si>
    <t>QM EF Database (cci_emissionfactordatabase_2022-11-30.xlsx see "Natural Gas" tab and see "ef_database_documentation.pdf")</t>
  </si>
  <si>
    <r>
      <t>NG</t>
    </r>
    <r>
      <rPr>
        <b/>
        <vertAlign val="subscript"/>
        <sz val="11"/>
        <color theme="1"/>
        <rFont val="Roboto"/>
      </rPr>
      <t>URBAN</t>
    </r>
    <r>
      <rPr>
        <b/>
        <sz val="11"/>
        <color theme="1"/>
        <rFont val="Roboto"/>
      </rPr>
      <t xml:space="preserve"> (therm per DU per yr) for Midwest urban areas</t>
    </r>
  </si>
  <si>
    <t>US EIA 2015 RECS survey Table CE 2.3 (Consumption and expenditures)</t>
  </si>
  <si>
    <r>
      <t>t CO</t>
    </r>
    <r>
      <rPr>
        <b/>
        <vertAlign val="subscript"/>
        <sz val="11"/>
        <color theme="1"/>
        <rFont val="Roboto"/>
      </rPr>
      <t>2</t>
    </r>
    <r>
      <rPr>
        <b/>
        <sz val="11"/>
        <color theme="1"/>
        <rFont val="Roboto"/>
      </rPr>
      <t>e GHG</t>
    </r>
    <r>
      <rPr>
        <b/>
        <vertAlign val="subscript"/>
        <sz val="11"/>
        <color theme="1"/>
        <rFont val="Roboto"/>
      </rPr>
      <t>NG</t>
    </r>
    <r>
      <rPr>
        <b/>
        <sz val="11"/>
        <color theme="1"/>
        <rFont val="Roboto"/>
      </rPr>
      <t xml:space="preserve"> </t>
    </r>
  </si>
  <si>
    <t>Equation 7: Avoided Carbon Loss of Farmland due to Conversion to Housing</t>
  </si>
  <si>
    <t>Soil carbon loss from excavation to build homes</t>
  </si>
  <si>
    <t>(unitless) Land use factor representing the loss of soil C with conversion to settlements</t>
  </si>
  <si>
    <r>
      <t>CS</t>
    </r>
    <r>
      <rPr>
        <vertAlign val="subscript"/>
        <sz val="11"/>
        <color theme="1"/>
        <rFont val="Roboto"/>
      </rPr>
      <t>ref</t>
    </r>
    <r>
      <rPr>
        <sz val="11"/>
        <color theme="1"/>
        <rFont val="Roboto"/>
      </rPr>
      <t xml:space="preserve"> (MT C / ha)</t>
    </r>
  </si>
  <si>
    <r>
      <t>convert from C to CO</t>
    </r>
    <r>
      <rPr>
        <vertAlign val="subscript"/>
        <sz val="11"/>
        <color theme="1"/>
        <rFont val="Roboto"/>
      </rPr>
      <t>2</t>
    </r>
    <r>
      <rPr>
        <sz val="11"/>
        <color theme="1"/>
        <rFont val="Roboto"/>
      </rPr>
      <t xml:space="preserve"> (MT CO</t>
    </r>
    <r>
      <rPr>
        <vertAlign val="subscript"/>
        <sz val="11"/>
        <color theme="1"/>
        <rFont val="Roboto"/>
      </rPr>
      <t>2</t>
    </r>
    <r>
      <rPr>
        <sz val="11"/>
        <color theme="1"/>
        <rFont val="Roboto"/>
      </rPr>
      <t>/ MT C)</t>
    </r>
  </si>
  <si>
    <t>convert from ha to ac (ac/ha)</t>
  </si>
  <si>
    <t>max number of ac per dwelling disturbed by development (ac/DU)</t>
  </si>
  <si>
    <t>acres of project site evaluated for housing development</t>
  </si>
  <si>
    <r>
      <t>GHG</t>
    </r>
    <r>
      <rPr>
        <b/>
        <vertAlign val="subscript"/>
        <sz val="11"/>
        <color theme="1"/>
        <rFont val="Roboto"/>
      </rPr>
      <t>SOC</t>
    </r>
    <r>
      <rPr>
        <b/>
        <sz val="11"/>
        <color theme="1"/>
        <rFont val="Roboto"/>
      </rPr>
      <t xml:space="preserve"> t CO</t>
    </r>
    <r>
      <rPr>
        <b/>
        <vertAlign val="subscript"/>
        <sz val="11"/>
        <color theme="1"/>
        <rFont val="Roboto"/>
      </rPr>
      <t>2</t>
    </r>
    <r>
      <rPr>
        <b/>
        <sz val="11"/>
        <color theme="1"/>
        <rFont val="Roboto"/>
      </rPr>
      <t>e</t>
    </r>
  </si>
  <si>
    <r>
      <t>Equation 8: NO</t>
    </r>
    <r>
      <rPr>
        <b/>
        <vertAlign val="subscript"/>
        <sz val="14"/>
        <color theme="1"/>
        <rFont val="Roboto"/>
      </rPr>
      <t>x</t>
    </r>
    <r>
      <rPr>
        <b/>
        <sz val="14"/>
        <color theme="1"/>
        <rFont val="Roboto"/>
      </rPr>
      <t>, ROG, PM</t>
    </r>
    <r>
      <rPr>
        <b/>
        <vertAlign val="subscript"/>
        <sz val="14"/>
        <color theme="1"/>
        <rFont val="Roboto"/>
      </rPr>
      <t>2.5</t>
    </r>
    <r>
      <rPr>
        <b/>
        <sz val="14"/>
        <color theme="1"/>
        <rFont val="Roboto"/>
      </rPr>
      <t xml:space="preserve"> and Diesel PM co-benefit from VMT and electricity reduction</t>
    </r>
  </si>
  <si>
    <t>Non-GHG pollution avoided as co-benefit of easement</t>
  </si>
  <si>
    <t>CoBenefit (lb emission) sum of all project years</t>
  </si>
  <si>
    <t>See "MPG &amp; AVEFs by yr" tab</t>
  </si>
  <si>
    <t>tonnes per pound</t>
  </si>
  <si>
    <t>Co-Benefit t emission (sum of all project years)</t>
  </si>
  <si>
    <t>Results</t>
  </si>
  <si>
    <t>These values will update if changes are made to inputs or calculations in previous 2 tabs or COMETFarm tab</t>
  </si>
  <si>
    <t>Avoided conversion 30-year results</t>
  </si>
  <si>
    <t>acres</t>
  </si>
  <si>
    <t>estimated housing density if Bishop Farm was developed</t>
  </si>
  <si>
    <t>development rights extinguished</t>
  </si>
  <si>
    <r>
      <t>Total estimated GHG benefit (t CO</t>
    </r>
    <r>
      <rPr>
        <b/>
        <vertAlign val="subscript"/>
        <sz val="11"/>
        <color theme="1"/>
        <rFont val="Roboto"/>
      </rPr>
      <t>2</t>
    </r>
    <r>
      <rPr>
        <b/>
        <sz val="11"/>
        <color theme="1"/>
        <rFont val="Roboto"/>
      </rPr>
      <t>e) for 30 years of the easement, i.e., GHG</t>
    </r>
    <r>
      <rPr>
        <b/>
        <vertAlign val="subscript"/>
        <sz val="11"/>
        <color theme="1"/>
        <rFont val="Roboto"/>
      </rPr>
      <t>ESMT</t>
    </r>
  </si>
  <si>
    <t>VMT avoided (miles)</t>
  </si>
  <si>
    <r>
      <t>VMT avoided emissions (t CO</t>
    </r>
    <r>
      <rPr>
        <vertAlign val="subscript"/>
        <sz val="11"/>
        <color theme="1"/>
        <rFont val="Roboto"/>
      </rPr>
      <t>2</t>
    </r>
    <r>
      <rPr>
        <sz val="11"/>
        <color theme="1"/>
        <rFont val="Roboto"/>
      </rPr>
      <t xml:space="preserve">e), i.e., </t>
    </r>
    <r>
      <rPr>
        <b/>
        <sz val="11"/>
        <color theme="1"/>
        <rFont val="Roboto"/>
      </rPr>
      <t>GHG</t>
    </r>
    <r>
      <rPr>
        <b/>
        <vertAlign val="subscript"/>
        <sz val="11"/>
        <color theme="1"/>
        <rFont val="Roboto"/>
      </rPr>
      <t>VMT</t>
    </r>
  </si>
  <si>
    <t>avoided electricity consumption (MWh)</t>
  </si>
  <si>
    <r>
      <t>avoided electricity consumption (t CO</t>
    </r>
    <r>
      <rPr>
        <vertAlign val="subscript"/>
        <sz val="11"/>
        <color theme="1"/>
        <rFont val="Roboto"/>
      </rPr>
      <t>2</t>
    </r>
    <r>
      <rPr>
        <sz val="11"/>
        <color theme="1"/>
        <rFont val="Roboto"/>
      </rPr>
      <t xml:space="preserve">e), i.e., </t>
    </r>
    <r>
      <rPr>
        <b/>
        <sz val="11"/>
        <color theme="1"/>
        <rFont val="Roboto"/>
      </rPr>
      <t>GHG</t>
    </r>
    <r>
      <rPr>
        <b/>
        <vertAlign val="subscript"/>
        <sz val="11"/>
        <color theme="1"/>
        <rFont val="Roboto"/>
      </rPr>
      <t>ELEC</t>
    </r>
    <r>
      <rPr>
        <b/>
        <sz val="11"/>
        <color theme="1"/>
        <rFont val="Roboto"/>
      </rPr>
      <t xml:space="preserve"> </t>
    </r>
  </si>
  <si>
    <r>
      <t>avoided propane combustion (t CO</t>
    </r>
    <r>
      <rPr>
        <vertAlign val="subscript"/>
        <sz val="11"/>
        <color theme="1"/>
        <rFont val="Roboto"/>
      </rPr>
      <t>2</t>
    </r>
    <r>
      <rPr>
        <sz val="11"/>
        <color theme="1"/>
        <rFont val="Roboto"/>
      </rPr>
      <t xml:space="preserve">e), i.e., </t>
    </r>
    <r>
      <rPr>
        <b/>
        <sz val="11"/>
        <color theme="1"/>
        <rFont val="Roboto"/>
      </rPr>
      <t>GHG</t>
    </r>
    <r>
      <rPr>
        <b/>
        <vertAlign val="subscript"/>
        <sz val="11"/>
        <color theme="1"/>
        <rFont val="Roboto"/>
      </rPr>
      <t>NG</t>
    </r>
    <r>
      <rPr>
        <b/>
        <sz val="11"/>
        <color theme="1"/>
        <rFont val="Roboto"/>
      </rPr>
      <t xml:space="preserve"> </t>
    </r>
  </si>
  <si>
    <r>
      <t>avoided soil organic carbon loss (t CO</t>
    </r>
    <r>
      <rPr>
        <vertAlign val="subscript"/>
        <sz val="11"/>
        <color theme="1"/>
        <rFont val="Roboto"/>
      </rPr>
      <t>2</t>
    </r>
    <r>
      <rPr>
        <sz val="11"/>
        <color theme="1"/>
        <rFont val="Roboto"/>
      </rPr>
      <t xml:space="preserve">e), i.e., </t>
    </r>
    <r>
      <rPr>
        <b/>
        <sz val="11"/>
        <color theme="1"/>
        <rFont val="Roboto"/>
      </rPr>
      <t>GHG</t>
    </r>
    <r>
      <rPr>
        <b/>
        <vertAlign val="subscript"/>
        <sz val="11"/>
        <color theme="1"/>
        <rFont val="Roboto"/>
      </rPr>
      <t>SOC</t>
    </r>
    <r>
      <rPr>
        <sz val="11"/>
        <color theme="1"/>
        <rFont val="Roboto"/>
      </rPr>
      <t xml:space="preserve"> </t>
    </r>
  </si>
  <si>
    <r>
      <t xml:space="preserve">avoided air pollution (t), i.e., </t>
    </r>
    <r>
      <rPr>
        <b/>
        <sz val="11"/>
        <color theme="1"/>
        <rFont val="Roboto"/>
      </rPr>
      <t>CoBenefit</t>
    </r>
  </si>
  <si>
    <t>Avoided conversion per-acre, per-year, per-household results</t>
  </si>
  <si>
    <r>
      <t>t CO</t>
    </r>
    <r>
      <rPr>
        <vertAlign val="subscript"/>
        <sz val="11"/>
        <color theme="1"/>
        <rFont val="Roboto"/>
      </rPr>
      <t>2</t>
    </r>
    <r>
      <rPr>
        <sz val="11"/>
        <color theme="1"/>
        <rFont val="Roboto"/>
      </rPr>
      <t>e reduced per acre per year</t>
    </r>
  </si>
  <si>
    <r>
      <t>t CO</t>
    </r>
    <r>
      <rPr>
        <vertAlign val="subscript"/>
        <sz val="11"/>
        <color theme="1"/>
        <rFont val="Roboto"/>
      </rPr>
      <t>2</t>
    </r>
    <r>
      <rPr>
        <sz val="11"/>
        <color theme="1"/>
        <rFont val="Roboto"/>
      </rPr>
      <t>e reduced per household per year</t>
    </r>
  </si>
  <si>
    <t>VMT per household per year</t>
  </si>
  <si>
    <t>Agroforestry COMET-Farm 30-year results</t>
  </si>
  <si>
    <r>
      <rPr>
        <b/>
        <i/>
        <sz val="11"/>
        <color rgb="FF00B050"/>
        <rFont val="Roboto"/>
      </rPr>
      <t>Negative</t>
    </r>
    <r>
      <rPr>
        <i/>
        <sz val="11"/>
        <color rgb="FF00B050"/>
        <rFont val="Roboto"/>
      </rPr>
      <t xml:space="preserve"> values indicate</t>
    </r>
    <r>
      <rPr>
        <b/>
        <i/>
        <sz val="11"/>
        <color rgb="FF00B050"/>
        <rFont val="Roboto"/>
      </rPr>
      <t xml:space="preserve"> carbon sequestration and/or reduced emissions</t>
    </r>
  </si>
  <si>
    <r>
      <t>Baseline scenario (t CO</t>
    </r>
    <r>
      <rPr>
        <vertAlign val="subscript"/>
        <sz val="11"/>
        <color rgb="FF000000"/>
        <rFont val="Roboto"/>
      </rPr>
      <t>2</t>
    </r>
    <r>
      <rPr>
        <sz val="11"/>
        <color rgb="FF000000"/>
        <rFont val="Roboto"/>
      </rPr>
      <t>e 30 yr) (65 acres in crops)</t>
    </r>
  </si>
  <si>
    <t>Conservation cropping scenario (t CO2e 30 yr) (65 acres in crops)</t>
  </si>
  <si>
    <t>Alley cropping scenario (t CO2e 30 yr) (58 acres in crops)</t>
  </si>
  <si>
    <t>Multi-practice conservation scenario  (t CO2e 30 yr) (42 acres in crops)</t>
  </si>
  <si>
    <t>Agroforestry COMET-Farm emissions per acre per year</t>
  </si>
  <si>
    <t>Conservation cropping scenario (t CO2e per acre per year)</t>
  </si>
  <si>
    <t>Alley cropping scenario (t CO2e per acre per year)</t>
  </si>
  <si>
    <t>Multi-practice conservation scenario (t CO2e per acre per year)</t>
  </si>
  <si>
    <t>Table 3</t>
  </si>
  <si>
    <t>Sources and Sinks</t>
  </si>
  <si>
    <t xml:space="preserve">Baseline </t>
  </si>
  <si>
    <t xml:space="preserve">Conservation Cropping System </t>
  </si>
  <si>
    <t xml:space="preserve">Alley Cropping System </t>
  </si>
  <si>
    <t xml:space="preserve">Multi-practice Agroforestry </t>
  </si>
  <si>
    <t>acres cropland</t>
  </si>
  <si>
    <t>acres of agroforestry</t>
  </si>
  <si>
    <t>(t CO2e /yr)</t>
  </si>
  <si>
    <t>Soil C Storage</t>
  </si>
  <si>
    <t>Soil CO2 emissions</t>
  </si>
  <si>
    <t>N2O emissions</t>
  </si>
  <si>
    <t>Direct N2O Emissions</t>
  </si>
  <si>
    <t>Indirect N2O Emissons Subtotal</t>
  </si>
  <si>
    <t>….Indirect N2O - Volatilization</t>
  </si>
  <si>
    <t>….Indirect N2O - Leaching and Runoff</t>
  </si>
  <si>
    <t>Total</t>
  </si>
  <si>
    <t>Agroforestry C storage</t>
  </si>
  <si>
    <t>Total with agroforestry practices</t>
  </si>
  <si>
    <t>Table 4</t>
  </si>
  <si>
    <t>Cumulative emissions (t CO2e)</t>
  </si>
  <si>
    <t>Source</t>
  </si>
  <si>
    <t>Average Yearly Emissions</t>
  </si>
  <si>
    <t>Alley Cropping (with walnut) (Age:2)-(Size:7)</t>
  </si>
  <si>
    <t>walnut</t>
  </si>
  <si>
    <t>Farm woodlot (with walnut) (Age :2)-(Size :7)</t>
  </si>
  <si>
    <r>
      <t xml:space="preserve">northern red oak </t>
    </r>
    <r>
      <rPr>
        <i/>
        <sz val="10"/>
        <rFont val="Calibri"/>
        <family val="2"/>
        <scheme val="minor"/>
      </rPr>
      <t>(tonnes CO</t>
    </r>
    <r>
      <rPr>
        <i/>
        <vertAlign val="subscript"/>
        <sz val="10"/>
        <rFont val="Calibri"/>
        <family val="2"/>
        <scheme val="minor"/>
      </rPr>
      <t xml:space="preserve">2 </t>
    </r>
    <r>
      <rPr>
        <i/>
        <sz val="10"/>
        <rFont val="Calibri"/>
        <family val="2"/>
        <scheme val="minor"/>
      </rPr>
      <t>equiv.)</t>
    </r>
  </si>
  <si>
    <r>
      <t xml:space="preserve">white oak </t>
    </r>
    <r>
      <rPr>
        <i/>
        <sz val="10"/>
        <rFont val="Calibri"/>
        <family val="2"/>
        <scheme val="minor"/>
      </rPr>
      <t>(tonnes CO</t>
    </r>
    <r>
      <rPr>
        <i/>
        <vertAlign val="subscript"/>
        <sz val="10"/>
        <rFont val="Calibri"/>
        <family val="2"/>
        <scheme val="minor"/>
      </rPr>
      <t xml:space="preserve">2 </t>
    </r>
    <r>
      <rPr>
        <i/>
        <sz val="10"/>
        <rFont val="Calibri"/>
        <family val="2"/>
        <scheme val="minor"/>
      </rPr>
      <t>equiv.)</t>
    </r>
  </si>
  <si>
    <r>
      <t xml:space="preserve">walnut </t>
    </r>
    <r>
      <rPr>
        <i/>
        <sz val="10"/>
        <rFont val="Calibri"/>
        <family val="2"/>
        <scheme val="minor"/>
      </rPr>
      <t>(tonnes CO</t>
    </r>
    <r>
      <rPr>
        <i/>
        <vertAlign val="subscript"/>
        <sz val="10"/>
        <rFont val="Calibri"/>
        <family val="2"/>
        <scheme val="minor"/>
      </rPr>
      <t>2</t>
    </r>
    <r>
      <rPr>
        <i/>
        <sz val="10"/>
        <rFont val="Calibri"/>
        <family val="2"/>
        <scheme val="minor"/>
      </rPr>
      <t xml:space="preserve"> equiv.)</t>
    </r>
  </si>
  <si>
    <t>Riparian buffer (with oak mixture) (Age :2)-(Size :7)</t>
  </si>
  <si>
    <r>
      <t xml:space="preserve">cottonwood </t>
    </r>
    <r>
      <rPr>
        <i/>
        <sz val="10"/>
        <rFont val="Calibri"/>
        <family val="2"/>
        <scheme val="minor"/>
      </rPr>
      <t>(tonnes CO</t>
    </r>
    <r>
      <rPr>
        <i/>
        <vertAlign val="subscript"/>
        <sz val="10"/>
        <rFont val="Calibri"/>
        <family val="2"/>
        <scheme val="minor"/>
      </rPr>
      <t>2</t>
    </r>
    <r>
      <rPr>
        <i/>
        <sz val="10"/>
        <rFont val="Calibri"/>
        <family val="2"/>
        <scheme val="minor"/>
      </rPr>
      <t xml:space="preserve"> equiv.)</t>
    </r>
  </si>
  <si>
    <r>
      <t xml:space="preserve">post oak </t>
    </r>
    <r>
      <rPr>
        <i/>
        <sz val="10"/>
        <rFont val="Calibri"/>
        <family val="2"/>
        <scheme val="minor"/>
      </rPr>
      <t>(tonnes CO</t>
    </r>
    <r>
      <rPr>
        <i/>
        <vertAlign val="subscript"/>
        <sz val="10"/>
        <rFont val="Calibri"/>
        <family val="2"/>
        <scheme val="minor"/>
      </rPr>
      <t xml:space="preserve">2 </t>
    </r>
    <r>
      <rPr>
        <i/>
        <sz val="10"/>
        <rFont val="Calibri"/>
        <family val="2"/>
        <scheme val="minor"/>
      </rPr>
      <t>equiv.)</t>
    </r>
  </si>
  <si>
    <r>
      <t xml:space="preserve">swamp white oak </t>
    </r>
    <r>
      <rPr>
        <i/>
        <sz val="10"/>
        <rFont val="Calibri"/>
        <family val="2"/>
        <scheme val="minor"/>
      </rPr>
      <t>(tonnes CO</t>
    </r>
    <r>
      <rPr>
        <i/>
        <vertAlign val="subscript"/>
        <sz val="10"/>
        <rFont val="Calibri"/>
        <family val="2"/>
        <scheme val="minor"/>
      </rPr>
      <t>2</t>
    </r>
    <r>
      <rPr>
        <i/>
        <sz val="10"/>
        <rFont val="Calibri"/>
        <family val="2"/>
        <scheme val="minor"/>
      </rPr>
      <t xml:space="preserve"> equiv.)</t>
    </r>
  </si>
  <si>
    <r>
      <t xml:space="preserve">maple </t>
    </r>
    <r>
      <rPr>
        <i/>
        <sz val="10"/>
        <rFont val="Calibri"/>
        <family val="2"/>
        <scheme val="minor"/>
      </rPr>
      <t>(tonnes CO</t>
    </r>
    <r>
      <rPr>
        <i/>
        <vertAlign val="subscript"/>
        <sz val="10"/>
        <rFont val="Calibri"/>
        <family val="2"/>
        <scheme val="minor"/>
      </rPr>
      <t>2</t>
    </r>
    <r>
      <rPr>
        <i/>
        <sz val="10"/>
        <rFont val="Calibri"/>
        <family val="2"/>
        <scheme val="minor"/>
      </rPr>
      <t xml:space="preserve"> equiv.)</t>
    </r>
  </si>
  <si>
    <t>3-row windbreak (Age:2)-(Size :2)</t>
  </si>
  <si>
    <r>
      <t xml:space="preserve">hackberry </t>
    </r>
    <r>
      <rPr>
        <i/>
        <sz val="10"/>
        <rFont val="Calibri"/>
        <family val="2"/>
        <scheme val="minor"/>
      </rPr>
      <t>(tonnes CO</t>
    </r>
    <r>
      <rPr>
        <i/>
        <vertAlign val="subscript"/>
        <sz val="10"/>
        <rFont val="Calibri"/>
        <family val="2"/>
        <scheme val="minor"/>
      </rPr>
      <t xml:space="preserve">2 </t>
    </r>
    <r>
      <rPr>
        <i/>
        <sz val="10"/>
        <rFont val="Calibri"/>
        <family val="2"/>
        <scheme val="minor"/>
      </rPr>
      <t>equiv.)</t>
    </r>
  </si>
  <si>
    <r>
      <t xml:space="preserve">eastern redcedar </t>
    </r>
    <r>
      <rPr>
        <i/>
        <sz val="10"/>
        <rFont val="Calibri"/>
        <family val="2"/>
        <scheme val="minor"/>
      </rPr>
      <t>(tonnes CO</t>
    </r>
    <r>
      <rPr>
        <i/>
        <vertAlign val="subscript"/>
        <sz val="10"/>
        <rFont val="Calibri"/>
        <family val="2"/>
        <scheme val="minor"/>
      </rPr>
      <t>2</t>
    </r>
    <r>
      <rPr>
        <i/>
        <sz val="10"/>
        <rFont val="Calibri"/>
        <family val="2"/>
        <scheme val="minor"/>
      </rPr>
      <t xml:space="preserve"> equiv.)</t>
    </r>
  </si>
  <si>
    <r>
      <t xml:space="preserve">pine </t>
    </r>
    <r>
      <rPr>
        <i/>
        <sz val="10"/>
        <rFont val="Calibri"/>
        <family val="2"/>
        <scheme val="minor"/>
      </rPr>
      <t>(tonnes CO</t>
    </r>
    <r>
      <rPr>
        <i/>
        <vertAlign val="subscript"/>
        <sz val="10"/>
        <rFont val="Calibri"/>
        <family val="2"/>
        <scheme val="minor"/>
      </rPr>
      <t>2</t>
    </r>
    <r>
      <rPr>
        <i/>
        <sz val="10"/>
        <rFont val="Calibri"/>
        <family val="2"/>
        <scheme val="minor"/>
      </rPr>
      <t xml:space="preserve"> equiv.)</t>
    </r>
  </si>
  <si>
    <t>Table 5</t>
  </si>
  <si>
    <t>Cropland (t CO2e 30 years)</t>
  </si>
  <si>
    <t>Agroforestry (t CO2e 30 years)</t>
  </si>
  <si>
    <t>Total (t CO2e 30 years)</t>
  </si>
  <si>
    <t>Baseline</t>
  </si>
  <si>
    <t>Conservation Cropping System</t>
  </si>
  <si>
    <t>Alley Cropping System</t>
  </si>
  <si>
    <t>Multi-practice Conservation</t>
  </si>
  <si>
    <r>
      <t>GHG</t>
    </r>
    <r>
      <rPr>
        <b/>
        <vertAlign val="subscript"/>
        <sz val="11"/>
        <color theme="1"/>
        <rFont val="Roboto"/>
      </rPr>
      <t>ESMT</t>
    </r>
    <r>
      <rPr>
        <b/>
        <sz val="11"/>
        <color theme="1"/>
        <rFont val="Roboto"/>
      </rPr>
      <t xml:space="preserve"> (MT CO</t>
    </r>
    <r>
      <rPr>
        <b/>
        <vertAlign val="subscript"/>
        <sz val="11"/>
        <color theme="1"/>
        <rFont val="Roboto"/>
      </rPr>
      <t>2</t>
    </r>
    <r>
      <rPr>
        <b/>
        <sz val="11"/>
        <color theme="1"/>
        <rFont val="Roboto"/>
      </rPr>
      <t>e) benefit for 30 years of the easement</t>
    </r>
  </si>
  <si>
    <t>Benefit from reduced:</t>
  </si>
  <si>
    <t>Driving</t>
  </si>
  <si>
    <t>Electricity</t>
  </si>
  <si>
    <t>Natural gas</t>
  </si>
  <si>
    <t>Excavation</t>
  </si>
  <si>
    <t># MPG data from the Federal Highway Administration (FHWA) data was downloaded from Table VM-1 from each year's report at https://www.fhwa.dot.gov/policyinformation/statistics.cfm</t>
  </si>
  <si>
    <t># Trendline details for projecting MPG and other data forward are given below</t>
  </si>
  <si>
    <t># 11/4/22 BM</t>
  </si>
  <si>
    <t>Equation 2 calcs</t>
  </si>
  <si>
    <t>Equation 8 calcs</t>
  </si>
  <si>
    <t>Measured or estimated MPG (extrapolated from regression)</t>
  </si>
  <si>
    <t>Year (stats for actual vehicles on the road accounting for age distribution)</t>
  </si>
  <si>
    <r>
      <t xml:space="preserve">MPG light duty vehicles short </t>
    </r>
    <r>
      <rPr>
        <b/>
        <sz val="9"/>
        <color theme="1"/>
        <rFont val="Roboto"/>
      </rPr>
      <t>(LDVS)</t>
    </r>
    <r>
      <rPr>
        <sz val="9"/>
        <color theme="1"/>
        <rFont val="Roboto"/>
        <family val="2"/>
      </rPr>
      <t xml:space="preserve"> wheel base (passenger cars, light trucks, vans, SUVs with short wheel base)</t>
    </r>
  </si>
  <si>
    <r>
      <t xml:space="preserve">MPG Light duty vehicles long </t>
    </r>
    <r>
      <rPr>
        <b/>
        <sz val="9"/>
        <color theme="1"/>
        <rFont val="Roboto"/>
      </rPr>
      <t>(LDVL)</t>
    </r>
    <r>
      <rPr>
        <sz val="9"/>
        <color theme="1"/>
        <rFont val="Roboto"/>
        <family val="2"/>
      </rPr>
      <t xml:space="preserve">  wheel bases (pickup trucks and SUVs with longer wheel bases)</t>
    </r>
  </si>
  <si>
    <t>average MPG</t>
  </si>
  <si>
    <r>
      <t>AVEF</t>
    </r>
    <r>
      <rPr>
        <vertAlign val="subscript"/>
        <sz val="9"/>
        <color theme="1"/>
        <rFont val="Roboto"/>
      </rPr>
      <t>Yr,Nation</t>
    </r>
    <r>
      <rPr>
        <sz val="9"/>
        <color theme="1"/>
        <rFont val="Roboto"/>
        <family val="2"/>
      </rPr>
      <t xml:space="preserve"> average g CO2e per mile</t>
    </r>
  </si>
  <si>
    <r>
      <t>VMT</t>
    </r>
    <r>
      <rPr>
        <vertAlign val="subscript"/>
        <sz val="10"/>
        <color theme="1"/>
        <rFont val="Roboto"/>
      </rPr>
      <t>BL</t>
    </r>
    <r>
      <rPr>
        <sz val="10"/>
        <color theme="1"/>
        <rFont val="Roboto"/>
        <family val="2"/>
      </rPr>
      <t xml:space="preserve"> (rural) from tab 2-Equations</t>
    </r>
  </si>
  <si>
    <r>
      <t>VMT</t>
    </r>
    <r>
      <rPr>
        <vertAlign val="subscript"/>
        <sz val="10"/>
        <color theme="1"/>
        <rFont val="Roboto"/>
      </rPr>
      <t>PR</t>
    </r>
    <r>
      <rPr>
        <sz val="10"/>
        <color theme="1"/>
        <rFont val="Roboto"/>
        <family val="2"/>
      </rPr>
      <t xml:space="preserve"> (urban)</t>
    </r>
    <r>
      <rPr>
        <sz val="10"/>
        <color theme="1"/>
        <rFont val="Roboto"/>
        <family val="2"/>
      </rPr>
      <t xml:space="preserve"> from tab 2-Equations</t>
    </r>
  </si>
  <si>
    <t>g CO2 from easement VMT per year</t>
  </si>
  <si>
    <r>
      <t>LDVS EF</t>
    </r>
    <r>
      <rPr>
        <vertAlign val="subscript"/>
        <sz val="10"/>
        <color theme="1"/>
        <rFont val="Roboto"/>
      </rPr>
      <t>YrNational</t>
    </r>
    <r>
      <rPr>
        <sz val="10"/>
        <color theme="1"/>
        <rFont val="Roboto"/>
        <family val="2"/>
      </rPr>
      <t xml:space="preserve"> ROG AKA HC AKA VOC (g emission/mile)</t>
    </r>
  </si>
  <si>
    <r>
      <t>LDVS EF</t>
    </r>
    <r>
      <rPr>
        <vertAlign val="subscript"/>
        <sz val="10"/>
        <color theme="1"/>
        <rFont val="Roboto"/>
      </rPr>
      <t>YrNational</t>
    </r>
    <r>
      <rPr>
        <sz val="10"/>
        <color theme="1"/>
        <rFont val="Roboto"/>
        <family val="2"/>
      </rPr>
      <t xml:space="preserve"> NOx (g emission/mile)</t>
    </r>
  </si>
  <si>
    <r>
      <t>LDVS EF</t>
    </r>
    <r>
      <rPr>
        <vertAlign val="subscript"/>
        <sz val="10"/>
        <color theme="1"/>
        <rFont val="Roboto"/>
      </rPr>
      <t>YrNational</t>
    </r>
    <r>
      <rPr>
        <sz val="10"/>
        <color theme="1"/>
        <rFont val="Roboto"/>
        <family val="2"/>
      </rPr>
      <t xml:space="preserve"> PM2.5 exhaust (g emission/mile)</t>
    </r>
  </si>
  <si>
    <r>
      <t>LDVS EF</t>
    </r>
    <r>
      <rPr>
        <vertAlign val="subscript"/>
        <sz val="10"/>
        <color theme="1"/>
        <rFont val="Roboto"/>
      </rPr>
      <t>YrNational</t>
    </r>
    <r>
      <rPr>
        <sz val="10"/>
        <color theme="1"/>
        <rFont val="Roboto"/>
        <family val="2"/>
      </rPr>
      <t xml:space="preserve"> PM2.5 tire wear (g emission/mile)</t>
    </r>
  </si>
  <si>
    <r>
      <t>LDVS EF</t>
    </r>
    <r>
      <rPr>
        <vertAlign val="subscript"/>
        <sz val="10"/>
        <color theme="1"/>
        <rFont val="Roboto"/>
      </rPr>
      <t>YrNational</t>
    </r>
    <r>
      <rPr>
        <sz val="10"/>
        <color theme="1"/>
        <rFont val="Roboto"/>
        <family val="2"/>
      </rPr>
      <t xml:space="preserve"> PM2.5 brake wear (g emission/mile)</t>
    </r>
  </si>
  <si>
    <r>
      <t>LDVL EF</t>
    </r>
    <r>
      <rPr>
        <vertAlign val="subscript"/>
        <sz val="10"/>
        <color theme="1"/>
        <rFont val="Roboto"/>
      </rPr>
      <t>YrNational</t>
    </r>
    <r>
      <rPr>
        <sz val="10"/>
        <color theme="1"/>
        <rFont val="Roboto"/>
        <family val="2"/>
      </rPr>
      <t xml:space="preserve"> ROG AKA HC AKA VOC (g emission/mile)</t>
    </r>
  </si>
  <si>
    <r>
      <t>LDVL EF</t>
    </r>
    <r>
      <rPr>
        <vertAlign val="subscript"/>
        <sz val="10"/>
        <color theme="1"/>
        <rFont val="Roboto"/>
      </rPr>
      <t>YrNational</t>
    </r>
    <r>
      <rPr>
        <sz val="10"/>
        <color theme="1"/>
        <rFont val="Roboto"/>
        <family val="2"/>
      </rPr>
      <t xml:space="preserve"> NOx (g emission/mile)</t>
    </r>
  </si>
  <si>
    <r>
      <t>LDVL EF</t>
    </r>
    <r>
      <rPr>
        <vertAlign val="subscript"/>
        <sz val="10"/>
        <color theme="1"/>
        <rFont val="Roboto"/>
      </rPr>
      <t>YrNational</t>
    </r>
    <r>
      <rPr>
        <sz val="10"/>
        <color theme="1"/>
        <rFont val="Roboto"/>
        <family val="2"/>
      </rPr>
      <t xml:space="preserve"> PM2.5 exhaust (g emission/mile)</t>
    </r>
  </si>
  <si>
    <r>
      <t>LDVL EF</t>
    </r>
    <r>
      <rPr>
        <vertAlign val="subscript"/>
        <sz val="10"/>
        <color theme="1"/>
        <rFont val="Roboto"/>
      </rPr>
      <t>YrNational</t>
    </r>
    <r>
      <rPr>
        <sz val="10"/>
        <color theme="1"/>
        <rFont val="Roboto"/>
        <family val="2"/>
      </rPr>
      <t xml:space="preserve"> PM2.5 tire wear (g emission/mile)</t>
    </r>
  </si>
  <si>
    <r>
      <t>LDVL EF</t>
    </r>
    <r>
      <rPr>
        <vertAlign val="subscript"/>
        <sz val="10"/>
        <color theme="1"/>
        <rFont val="Roboto"/>
      </rPr>
      <t>YrNational</t>
    </r>
    <r>
      <rPr>
        <sz val="10"/>
        <color theme="1"/>
        <rFont val="Roboto"/>
        <family val="2"/>
      </rPr>
      <t xml:space="preserve"> PM2.5 brake wear (g emission/mile)</t>
    </r>
  </si>
  <si>
    <r>
      <t>AVEF</t>
    </r>
    <r>
      <rPr>
        <vertAlign val="subscript"/>
        <sz val="10"/>
        <color theme="1"/>
        <rFont val="Roboto"/>
      </rPr>
      <t>YrNation</t>
    </r>
    <r>
      <rPr>
        <sz val="10"/>
        <color theme="1"/>
        <rFont val="Roboto"/>
      </rPr>
      <t xml:space="preserve"> (lb emission mi</t>
    </r>
    <r>
      <rPr>
        <vertAlign val="superscript"/>
        <sz val="10"/>
        <color theme="1"/>
        <rFont val="Roboto"/>
      </rPr>
      <t>-1</t>
    </r>
    <r>
      <rPr>
        <sz val="10"/>
        <color theme="1"/>
        <rFont val="Roboto"/>
      </rPr>
      <t>)</t>
    </r>
  </si>
  <si>
    <t>lb emission per year</t>
  </si>
  <si>
    <r>
      <t>EF</t>
    </r>
    <r>
      <rPr>
        <vertAlign val="subscript"/>
        <sz val="10"/>
        <color theme="1"/>
        <rFont val="Roboto"/>
      </rPr>
      <t>ELEC</t>
    </r>
    <r>
      <rPr>
        <sz val="10"/>
        <color theme="1"/>
        <rFont val="Roboto"/>
        <family val="2"/>
      </rPr>
      <t xml:space="preserve"> NOx (lb emission / MWh)</t>
    </r>
    <r>
      <rPr>
        <sz val="10"/>
        <color theme="1"/>
        <rFont val="Roboto"/>
        <family val="2"/>
      </rPr>
      <t xml:space="preserve"> grid-specific</t>
    </r>
  </si>
  <si>
    <r>
      <t>EF</t>
    </r>
    <r>
      <rPr>
        <vertAlign val="subscript"/>
        <sz val="10"/>
        <color theme="1"/>
        <rFont val="Roboto"/>
      </rPr>
      <t>ELEC</t>
    </r>
    <r>
      <rPr>
        <sz val="10"/>
        <color theme="1"/>
        <rFont val="Roboto"/>
        <family val="2"/>
      </rPr>
      <t xml:space="preserve"> ROG AKA VOC (lb emission / MWh)</t>
    </r>
    <r>
      <rPr>
        <sz val="10"/>
        <color theme="1"/>
        <rFont val="Roboto"/>
        <family val="2"/>
      </rPr>
      <t xml:space="preserve"> California specific</t>
    </r>
    <r>
      <rPr>
        <sz val="10"/>
        <color theme="1"/>
        <rFont val="Roboto"/>
        <family val="2"/>
      </rPr>
      <t xml:space="preserve"> (grid-specific not available)</t>
    </r>
  </si>
  <si>
    <r>
      <t>EF</t>
    </r>
    <r>
      <rPr>
        <vertAlign val="subscript"/>
        <sz val="10"/>
        <color theme="1"/>
        <rFont val="Roboto"/>
      </rPr>
      <t>ELEC</t>
    </r>
    <r>
      <rPr>
        <sz val="10"/>
        <color theme="1"/>
        <rFont val="Roboto"/>
        <family val="2"/>
      </rPr>
      <t xml:space="preserve"> PM2.5 (lb emission / MWh)</t>
    </r>
    <r>
      <rPr>
        <sz val="10"/>
        <color theme="1"/>
        <rFont val="Roboto"/>
        <family val="2"/>
      </rPr>
      <t xml:space="preserve"> grid-specific</t>
    </r>
  </si>
  <si>
    <r>
      <t>EF</t>
    </r>
    <r>
      <rPr>
        <vertAlign val="subscript"/>
        <sz val="10"/>
        <color theme="1"/>
        <rFont val="Roboto"/>
      </rPr>
      <t>ELEC</t>
    </r>
    <r>
      <rPr>
        <sz val="10"/>
        <color theme="1"/>
        <rFont val="Roboto"/>
        <family val="2"/>
      </rPr>
      <t xml:space="preserve"> Diesel PM (lb emission / MWh)</t>
    </r>
  </si>
  <si>
    <r>
      <t>EF</t>
    </r>
    <r>
      <rPr>
        <vertAlign val="subscript"/>
        <sz val="10"/>
        <color theme="1"/>
        <rFont val="Roboto"/>
      </rPr>
      <t>ELEC</t>
    </r>
    <r>
      <rPr>
        <sz val="10"/>
        <color theme="1"/>
        <rFont val="Roboto"/>
        <family val="2"/>
      </rPr>
      <t xml:space="preserve"> total (lb emission / MWh)</t>
    </r>
  </si>
  <si>
    <r>
      <t>EF</t>
    </r>
    <r>
      <rPr>
        <vertAlign val="subscript"/>
        <sz val="10"/>
        <color theme="1"/>
        <rFont val="Roboto"/>
      </rPr>
      <t>BL</t>
    </r>
    <r>
      <rPr>
        <sz val="10"/>
        <color theme="1"/>
        <rFont val="Roboto"/>
        <family val="2"/>
      </rPr>
      <t xml:space="preserve"> NOX Propane (lb emission/therm)</t>
    </r>
  </si>
  <si>
    <r>
      <t>EF</t>
    </r>
    <r>
      <rPr>
        <vertAlign val="subscript"/>
        <sz val="10"/>
        <color theme="1"/>
        <rFont val="Roboto"/>
      </rPr>
      <t>BL</t>
    </r>
    <r>
      <rPr>
        <sz val="10"/>
        <color theme="1"/>
        <rFont val="Roboto"/>
        <family val="2"/>
      </rPr>
      <t xml:space="preserve"> ROG AKA VOC Propane (lb emission/therm)</t>
    </r>
  </si>
  <si>
    <r>
      <t>EF</t>
    </r>
    <r>
      <rPr>
        <vertAlign val="subscript"/>
        <sz val="10"/>
        <color theme="1"/>
        <rFont val="Roboto"/>
      </rPr>
      <t>BL</t>
    </r>
    <r>
      <rPr>
        <sz val="10"/>
        <color theme="1"/>
        <rFont val="Roboto"/>
        <family val="2"/>
      </rPr>
      <t xml:space="preserve"> PM2.5 Propane (lb emission/therm)</t>
    </r>
  </si>
  <si>
    <r>
      <t>EF</t>
    </r>
    <r>
      <rPr>
        <vertAlign val="subscript"/>
        <sz val="10"/>
        <color theme="1"/>
        <rFont val="Roboto"/>
      </rPr>
      <t>BL</t>
    </r>
    <r>
      <rPr>
        <sz val="10"/>
        <color theme="1"/>
        <rFont val="Roboto"/>
        <family val="2"/>
      </rPr>
      <t xml:space="preserve"> total (lb emission/therm)</t>
    </r>
  </si>
  <si>
    <r>
      <t>EF</t>
    </r>
    <r>
      <rPr>
        <vertAlign val="subscript"/>
        <sz val="10"/>
        <color theme="1"/>
        <rFont val="Roboto"/>
      </rPr>
      <t>PR</t>
    </r>
    <r>
      <rPr>
        <sz val="10"/>
        <color theme="1"/>
        <rFont val="Roboto"/>
        <family val="2"/>
      </rPr>
      <t xml:space="preserve"> NOX Natural gas for controlled - low NOx burners (lb emission/therm)</t>
    </r>
  </si>
  <si>
    <r>
      <t>EF</t>
    </r>
    <r>
      <rPr>
        <vertAlign val="subscript"/>
        <sz val="10"/>
        <color theme="1"/>
        <rFont val="Roboto"/>
      </rPr>
      <t>PR</t>
    </r>
    <r>
      <rPr>
        <sz val="10"/>
        <color theme="1"/>
        <rFont val="Roboto"/>
        <family val="2"/>
      </rPr>
      <t xml:space="preserve"> ROG AKA VOC Natural gas (lb emission/therm)</t>
    </r>
  </si>
  <si>
    <r>
      <t>EF</t>
    </r>
    <r>
      <rPr>
        <vertAlign val="subscript"/>
        <sz val="10"/>
        <color theme="1"/>
        <rFont val="Roboto"/>
      </rPr>
      <t>PR</t>
    </r>
    <r>
      <rPr>
        <sz val="10"/>
        <color theme="1"/>
        <rFont val="Roboto"/>
        <family val="2"/>
      </rPr>
      <t xml:space="preserve"> PM2.5 Natural gas (lb emission/therm)</t>
    </r>
  </si>
  <si>
    <r>
      <t>EF</t>
    </r>
    <r>
      <rPr>
        <vertAlign val="subscript"/>
        <sz val="10"/>
        <color theme="1"/>
        <rFont val="Roboto"/>
      </rPr>
      <t>PR</t>
    </r>
    <r>
      <rPr>
        <sz val="10"/>
        <color theme="1"/>
        <rFont val="Roboto"/>
        <family val="2"/>
      </rPr>
      <t xml:space="preserve"> total (lb emission/therm)</t>
    </r>
  </si>
  <si>
    <r>
      <t>NG</t>
    </r>
    <r>
      <rPr>
        <vertAlign val="subscript"/>
        <sz val="10"/>
        <color theme="1"/>
        <rFont val="Roboto"/>
      </rPr>
      <t>Urban</t>
    </r>
    <r>
      <rPr>
        <sz val="10"/>
        <color theme="1"/>
        <rFont val="Roboto"/>
        <family val="2"/>
      </rPr>
      <t xml:space="preserve"> therm DU</t>
    </r>
    <r>
      <rPr>
        <vertAlign val="superscript"/>
        <sz val="10"/>
        <color theme="1"/>
        <rFont val="Roboto"/>
      </rPr>
      <t>-1</t>
    </r>
    <r>
      <rPr>
        <sz val="10"/>
        <color theme="1"/>
        <rFont val="Roboto"/>
        <family val="2"/>
      </rPr>
      <t xml:space="preserve"> yr</t>
    </r>
    <r>
      <rPr>
        <vertAlign val="superscript"/>
        <sz val="10"/>
        <color theme="1"/>
        <rFont val="Roboto"/>
      </rPr>
      <t>-1</t>
    </r>
  </si>
  <si>
    <t>CoBenefit (lb emission) per year i.e., equation 8</t>
  </si>
  <si>
    <t>assuming no change over time</t>
  </si>
  <si>
    <t>Measured</t>
  </si>
  <si>
    <t>Estimated</t>
  </si>
  <si>
    <t>REGRESSIONS &amp; REFERENCE VALUES &amp; NOTES</t>
  </si>
  <si>
    <t>slope</t>
  </si>
  <si>
    <t>see tab "non CO2 EFs by vehicle type" column AH</t>
  </si>
  <si>
    <t>This is national, average of LDVS and LDVL, converted from g to lb</t>
  </si>
  <si>
    <t>sum</t>
  </si>
  <si>
    <t>intercept</t>
  </si>
  <si>
    <t>see tab "non CO2 EFs by vehicle type" column AI</t>
  </si>
  <si>
    <t>(FHWA data [see Read_Me] and Estimates for future years)</t>
  </si>
  <si>
    <t>see tab "non CO2 EFs by vehicle type"</t>
  </si>
  <si>
    <t>CARB Quantitative Method EF Database</t>
  </si>
  <si>
    <t>region</t>
  </si>
  <si>
    <t>national</t>
  </si>
  <si>
    <t>https://www.epa.gov/egrid/power-profiler#/SRMW</t>
  </si>
  <si>
    <t>NA assuming region doesn't matter for EFs from burning propane</t>
  </si>
  <si>
    <t>CA</t>
  </si>
  <si>
    <t>Midwest Urban areas</t>
  </si>
  <si>
    <t>KEY: cells this color indicate places we could do more research</t>
  </si>
  <si>
    <t>NOTE: LDV in the tab = LDVS here, LD Truck in the tab = LDVL here. Also, the SALC adds in PM10 but that data not provided for nation.</t>
  </si>
  <si>
    <t>NOTE: when the predicted values go negative, I use the last positive value for remaining years.</t>
  </si>
  <si>
    <t>SRMW Grid</t>
  </si>
  <si>
    <t>NOTE: used "PM (total)" from the spreadsheet, this is all PM &lt;1.</t>
  </si>
  <si>
    <t>NOTE: According to the EPA Power Profiler this site is in the SRMW egrid subregion, which is SERC Midwest / Eastern Power Grid. SERC = Southern Electric Reliability Corporation https://www.serc1.org/. It would take some research to figure out what type of natural gas boiler is providing electricity to this parcel, going to assume for now that it is the "large wall-fired boilers" and "Controlled - low NOx burner" type provided in the CARB QM EF Database.</t>
  </si>
  <si>
    <t>NOTE: I confirmed with FHWA that these MPG are for vehicles on the road accounting for age distribution)</t>
  </si>
  <si>
    <t>NOTE: the SALC method calls for a Diesel PM for electrical use but the QM EF Database does not seem to have a Diesel PM EF for electrical use and looking at the EPA Power Profiler for this region, "Other Fossil Fuel" makes up 0.1% of the grid's electricity fuel mix.</t>
  </si>
  <si>
    <t># Reference values and background info</t>
  </si>
  <si>
    <t>Rate of growth in VMT in Illinois (VMT in Millions) -- not growing / need a longer term dataset!</t>
  </si>
  <si>
    <t>From FHWA Highway Statistics Table VM-2 https://www.fhwa.dot.gov/policyinformation/statistics.cfm</t>
  </si>
  <si>
    <t>year</t>
  </si>
  <si>
    <t>total rural</t>
  </si>
  <si>
    <t>total urban</t>
  </si>
  <si>
    <t>total</t>
  </si>
  <si>
    <t>outlier pandemic year</t>
  </si>
  <si>
    <t>Similar from state dataF:</t>
  </si>
  <si>
    <t>average daily VMT for Tazewell County from IL Travel Statistics reports</t>
  </si>
  <si>
    <t>average yrs 2012-2019</t>
  </si>
  <si>
    <t>excluding outlier pandemic years</t>
  </si>
  <si>
    <t>IL Travel Statistics give us VMT by vehicle type at the state level for rural and urban areas:</t>
  </si>
  <si>
    <t>Copied from this PDF https://idot.illinois.gov/transportation-system/Network-Overview/highway-system/illinois-travel-statistics</t>
  </si>
  <si>
    <t>Going to assume these proportions do not change much over time.</t>
  </si>
  <si>
    <t>AVMTs (annual vehicle miles traveled) given in millions</t>
  </si>
  <si>
    <t>All Systems (meaning road types)</t>
  </si>
  <si>
    <t>system miles</t>
  </si>
  <si>
    <t>passenger vehicles 4-tire AVMT (assuming gasoline)</t>
  </si>
  <si>
    <t>%</t>
  </si>
  <si>
    <t>Single Unit Trucks AVMT (assuming box trucks, dump trucks using diesel)</t>
  </si>
  <si>
    <t>Single Unit Buses AVMT (assuming school buses not city buses for Tazewell Co., assuming diesel-note city buses many run on liquid natural gas)</t>
  </si>
  <si>
    <t>Single unit subtotal AVMT</t>
  </si>
  <si>
    <t>Multiple unit trucks AVMT (assuming this is semis, running on diesel)</t>
  </si>
  <si>
    <t>Total Trucks AVMT %</t>
  </si>
  <si>
    <t>Total Traffic AVMT</t>
  </si>
  <si>
    <t>% of total</t>
  </si>
  <si>
    <t>pass. veh. VMT/day</t>
  </si>
  <si>
    <t>single unit trucks VMT/day</t>
  </si>
  <si>
    <t>single unit buses VMT/day</t>
  </si>
  <si>
    <t>multiple unit VMT/day</t>
  </si>
  <si>
    <t>Rural</t>
  </si>
  <si>
    <t>Urban</t>
  </si>
  <si>
    <t>Fuel emission factors</t>
  </si>
  <si>
    <t>From the CA Air Resources Board Quantification Methodology EF Database 2022-11-30 update available at https://ww2.arb.ca.gov/resources/documents/cci-quantification-benefits-and-reporting-materials</t>
  </si>
  <si>
    <t>Well-to-Wheel GHG emission factors for various fuel types</t>
  </si>
  <si>
    <t>Fuel Specific Factors</t>
  </si>
  <si>
    <t>Fuels (units)</t>
  </si>
  <si>
    <t>Energy Density*</t>
  </si>
  <si>
    <t>Carbon Intensity</t>
  </si>
  <si>
    <t>Carbon Content**</t>
  </si>
  <si>
    <t>Biodiesel (gal)</t>
  </si>
  <si>
    <t>126.13 (MJ/gal)</t>
  </si>
  <si>
    <t>28.53 (gCO2e/MJ)</t>
  </si>
  <si>
    <t>3,598.49 (gCO2e/gal)</t>
  </si>
  <si>
    <t>CNG (scf)</t>
  </si>
  <si>
    <t>0.98 (MJ/scf)</t>
  </si>
  <si>
    <t>86.70 (gCO2e/MJ)</t>
  </si>
  <si>
    <t>84.97 (gCO2e/scf)</t>
  </si>
  <si>
    <t>Diesel (gal)</t>
  </si>
  <si>
    <t>134.47 (MJ/gal)</t>
  </si>
  <si>
    <t>100.45 (gCO2e/MJ)</t>
  </si>
  <si>
    <t>13,507.51 (gCO2e/gal)</t>
  </si>
  <si>
    <t>Electric (kWh)</t>
  </si>
  <si>
    <t>3.60 (MJ/kWh)</t>
  </si>
  <si>
    <t>76.73 (gCO2e/MJ)</t>
  </si>
  <si>
    <t>276.23 (gCO2e/kWh)</t>
  </si>
  <si>
    <t>Gasoline (gal)</t>
  </si>
  <si>
    <t>115.83 (MJ/gal)</t>
  </si>
  <si>
    <t>99.44 (gCO2e/MJ)</t>
  </si>
  <si>
    <t>11,518.14 (gCO2e/gal)</t>
  </si>
  <si>
    <t>Hydrogen (kg)</t>
  </si>
  <si>
    <t>120.00 (MJ/kg)</t>
  </si>
  <si>
    <t>111.61 (gCO2e/MJ)</t>
  </si>
  <si>
    <t>13,393.20 (gCO2e/kg)</t>
  </si>
  <si>
    <t>LNG (gal)</t>
  </si>
  <si>
    <t>78.83 (MJ/gal)</t>
  </si>
  <si>
    <t>97.48 (gCO2e/MJ)</t>
  </si>
  <si>
    <t>7,684.35 (gCO2e/gal)</t>
  </si>
  <si>
    <t>LPG / Propane (gal)</t>
  </si>
  <si>
    <t>89.63 (MJ/gal)</t>
  </si>
  <si>
    <t>80.48 (gCO2e/MJ)</t>
  </si>
  <si>
    <t>7,213.42 (gCO2e/gal)</t>
  </si>
  <si>
    <t>Ethanol (gal)</t>
  </si>
  <si>
    <t>81.51 (MJ/gal)</t>
  </si>
  <si>
    <t>59.93 (gCO2e/MJ)</t>
  </si>
  <si>
    <t>4,884.89 (gCO2e/gal)</t>
  </si>
  <si>
    <t>Renewable Diesel (gal)</t>
  </si>
  <si>
    <t>129.65 (MJ/gal)</t>
  </si>
  <si>
    <t>37.97 (gCO2e/MJ)</t>
  </si>
  <si>
    <t>4,922.81 (gCO2e/gal)</t>
  </si>
  <si>
    <t>Renewable Electricity (kWh)</t>
  </si>
  <si>
    <t>0.00 (gCO2e/MJ)</t>
  </si>
  <si>
    <t>0.00 (gCO2e/kWh)</t>
  </si>
  <si>
    <t>Renewable Natural Gas (scf)</t>
  </si>
  <si>
    <t>-50.55 (gCO2e/MJ)</t>
  </si>
  <si>
    <t>-49.54 (gCO2e/scf)</t>
  </si>
  <si>
    <t>* Energy densities provided at 60°F and 1 atm.</t>
  </si>
  <si>
    <t>**Carbon Content Emission Factors were calculated using fuel type Energy Density (megajoules (MJ) per unit of fuel)</t>
  </si>
  <si>
    <r>
      <t>and the fuel type Carbon Intensity (grams of carbon dioxide equivalents (CO</t>
    </r>
    <r>
      <rPr>
        <vertAlign val="subscript"/>
        <sz val="10"/>
        <color theme="1"/>
        <rFont val="Avenir LT Std 55 Roman"/>
        <family val="2"/>
      </rPr>
      <t>2</t>
    </r>
    <r>
      <rPr>
        <sz val="10"/>
        <color theme="1"/>
        <rFont val="Avenir LT Std 55 Roman"/>
        <family val="2"/>
      </rPr>
      <t>e) per MJ).  Carbon Content values are</t>
    </r>
  </si>
  <si>
    <t>derived from unrounded energy density and carbon intensity values. The Carbon Content values are then rounded to</t>
  </si>
  <si>
    <t>two decimals.</t>
  </si>
  <si>
    <t>The SALC method uses the "Passenger Auto GHG" tab in the EF Database ("cci_emissionfactordatabase.xlsx") for mileage calculations</t>
  </si>
  <si>
    <t>It considers the following vehicle types (excerpt from "vehicle-categories.xlsx" available from https://www.arb.ca.gov/msei/vehicle-categories.xlsx )</t>
  </si>
  <si>
    <t>EMFAC2011 Veh &amp; Tech</t>
  </si>
  <si>
    <t>EMFAC2011 Vehicle</t>
  </si>
  <si>
    <t>Description</t>
  </si>
  <si>
    <t>EMFAC2007 Vehicle</t>
  </si>
  <si>
    <t>EMFAC2007 Vehicle Code</t>
  </si>
  <si>
    <t>Truck / Non-Truck Category</t>
  </si>
  <si>
    <t>Truck 1 / Truck 2 / Non-Truck Category</t>
  </si>
  <si>
    <t>LDA - DSL</t>
  </si>
  <si>
    <t>LDA</t>
  </si>
  <si>
    <t>Passenger Cars</t>
  </si>
  <si>
    <t>EMFAC2011-LDV</t>
  </si>
  <si>
    <t>PC</t>
  </si>
  <si>
    <t>Non-Trucks</t>
  </si>
  <si>
    <t>LDA - GAS</t>
  </si>
  <si>
    <t>LDT1 - DSL</t>
  </si>
  <si>
    <t>LDT1</t>
  </si>
  <si>
    <t>Light-Duty Trucks (GVWR &lt;6000 lbs. and ETW &lt;= 3750 lbs)</t>
  </si>
  <si>
    <t>T1</t>
  </si>
  <si>
    <t>LDT1 - GAS</t>
  </si>
  <si>
    <t>LDT2 - DSL</t>
  </si>
  <si>
    <t>LDT2</t>
  </si>
  <si>
    <t>Light-Duty Trucks (GVWR &lt;6000 lbs. and ETW 3751-5750 lbs)</t>
  </si>
  <si>
    <t>T2</t>
  </si>
  <si>
    <t>LDT2 - GAS</t>
  </si>
  <si>
    <t>MDV - DSL</t>
  </si>
  <si>
    <t>MDV</t>
  </si>
  <si>
    <t>Medium-Duty Trucks (GVWR 6000-8500 lbs)</t>
  </si>
  <si>
    <t>T3</t>
  </si>
  <si>
    <t>MDV - GAS</t>
  </si>
  <si>
    <t># GVWR = gross vehicle weight rating = the max load weight of your vehicle or trailer as determined by manufacturer</t>
  </si>
  <si>
    <t># ETW = equivalent/emission test weight weight of a motor vehicle as automatically determined by the emissions analyzer system based on vehicle make, model, body, etc. and used for the purpose of assigning dynamometer resistance and exhaust emissions standards for the conduct of an exhaust emissions inspection</t>
  </si>
  <si>
    <t># These types do NOT include motorcycles, buses, box trucks, dump trucks, semis</t>
  </si>
  <si>
    <t xml:space="preserve"># </t>
  </si>
  <si>
    <t># SALC project data https://www.conservation.ca.gov/dlrp/grant-programs/SALCP/Pages/SALCPFundedProjects.aspx</t>
  </si>
  <si>
    <t># Export this as .CSV to run R script to make Figure 2 in the report.</t>
  </si>
  <si>
    <t># Extras</t>
  </si>
  <si>
    <t>project</t>
  </si>
  <si>
    <t>county/counties</t>
  </si>
  <si>
    <t>years</t>
  </si>
  <si>
    <t>development rights (HH)</t>
  </si>
  <si>
    <t>t CO2e</t>
  </si>
  <si>
    <t>t CO2e per acre per year</t>
  </si>
  <si>
    <t>t CO2e per HH per year</t>
  </si>
  <si>
    <t>VMT per HH per year</t>
  </si>
  <si>
    <t>notes</t>
  </si>
  <si>
    <t>C sequestration rate comparisons</t>
  </si>
  <si>
    <t>TCF IL</t>
  </si>
  <si>
    <t>avoided conversion</t>
  </si>
  <si>
    <t>Great Plains grasslands</t>
  </si>
  <si>
    <t>agroforestry</t>
  </si>
  <si>
    <t>g/m2/yr C uptake for Great Plains grasslands</t>
  </si>
  <si>
    <t>source: page 405 https://carbon2018.globalchange.gov/downloads/SOCCR2_2018_Full_Report.pdf</t>
  </si>
  <si>
    <t>g per t</t>
  </si>
  <si>
    <t>SALC</t>
  </si>
  <si>
    <t>Redding, Shasta</t>
  </si>
  <si>
    <t>m2 per ac</t>
  </si>
  <si>
    <t>Yuba</t>
  </si>
  <si>
    <t>t CO2e per ac per year</t>
  </si>
  <si>
    <t>Solano</t>
  </si>
  <si>
    <t>Santa Cruz</t>
  </si>
  <si>
    <t>Southwest Michigan abandoned cropland</t>
  </si>
  <si>
    <t>Cloverdale, Sonoma, Mendocino</t>
  </si>
  <si>
    <t>g CO2e / m2 / yr KBS LTER early successional net global warming impact</t>
  </si>
  <si>
    <t>source: page 317 here https://lter.kbs.msu.edu/citations/3465/download/Gelfand-2015-Ecology-Agric-Landscapes.pdf</t>
  </si>
  <si>
    <t>Colusa</t>
  </si>
  <si>
    <t>t CO2e per ac per year KBS LTER early successional</t>
  </si>
  <si>
    <t>Merced</t>
  </si>
  <si>
    <t>g CO2e / m2 / yr KBS LTER mid- successional net global warming impact</t>
  </si>
  <si>
    <t>Imperial</t>
  </si>
  <si>
    <t>t CO2e per ac per year KBS LTER mid- successional</t>
  </si>
  <si>
    <t>San Joaquin</t>
  </si>
  <si>
    <t>Humboldt</t>
  </si>
  <si>
    <t>Prairie pothole wetlands</t>
  </si>
  <si>
    <t>Tehama</t>
  </si>
  <si>
    <t>g CH4 /m2 /hr mean flux 2009-2016 across 11 sites in Prairie Potholes region</t>
  </si>
  <si>
    <t>source: https://earthlab.colorado.edu/blog/methane-flux-dynamics-prairie-pothole-wetlands</t>
  </si>
  <si>
    <t>Monterey</t>
  </si>
  <si>
    <t>t CH4 as CO2e per ac per year flux (positive=emission to atmosphere) from prairie pothole wetlands</t>
  </si>
  <si>
    <t>Mg C /ha /yr sequestration in prairie pothole wetlands (low end of range)</t>
  </si>
  <si>
    <t>Mg C /ha /yr sequestration in prairie pothole wetlands (high end of range)</t>
  </si>
  <si>
    <t>Placer</t>
  </si>
  <si>
    <t>Mg per t</t>
  </si>
  <si>
    <t>ha per ac</t>
  </si>
  <si>
    <t>San Luis Obispo</t>
  </si>
  <si>
    <t>t CO2e per ac per year soil C sequestration (low)</t>
  </si>
  <si>
    <t>THIS IS AN AFT PROJECT</t>
  </si>
  <si>
    <t>t CO2e per ac per year soil C sequestration (high)</t>
  </si>
  <si>
    <t>Fargione et al. 2018</t>
  </si>
  <si>
    <t>avoided deforestation</t>
  </si>
  <si>
    <t>Wetlands: 81-216 metric tons per acre (from TCF)</t>
  </si>
  <si>
    <t>source: https://www.sciencedirect.com/science/article/pii/S0048969720349731</t>
  </si>
  <si>
    <t>avoided grassland conversion to croplands</t>
  </si>
  <si>
    <t>Grasslands: 49 metric tons per acre (from Climate Trust)</t>
  </si>
  <si>
    <t>Fargione</t>
  </si>
  <si>
    <t>Mg Ce ha-1 avoided forest conversion (deforestation, not converted to another land use)</t>
  </si>
  <si>
    <t>t CO2e per ac per year avoided forest conversion (deforestation, not converted to another land use)</t>
  </si>
  <si>
    <t>Mg Ce ha-1 avoided grassland conversion to cropland</t>
  </si>
  <si>
    <t>t CO2e per ac per year avoided grassland conversion to cropland</t>
  </si>
  <si>
    <t>no wetland numbers</t>
  </si>
  <si>
    <t>Note SALC project summaries can be found here: https://www.conservation.ca.gov/dlrp/grant-programs/SALCP/Pages/SALCPFundedProjects.aspx</t>
  </si>
  <si>
    <t>IPCC values from SALC method and IPCC see table 3.3.3 (screenshot below) here: https://www.ipcc-nggip.iges.or.jp/public/gpglulucf/gpglulucf_files/Chp3/Chp3_3_Cropland.pdf</t>
  </si>
  <si>
    <t>The SALC method values do not quite match up with the values here and would be for CA climate. So the values above give soil C references for IL climate type (warm temperate, moist)</t>
  </si>
  <si>
    <t>USDA Soil Orders</t>
  </si>
  <si>
    <t>Reference C stock</t>
  </si>
  <si>
    <t>Soil with &gt;70% sand and &lt;8% clay</t>
  </si>
  <si>
    <t>Sandy Soils</t>
  </si>
  <si>
    <t>Histosols</t>
  </si>
  <si>
    <t>Wetland Soils</t>
  </si>
  <si>
    <t>Andisols</t>
  </si>
  <si>
    <t>Volcanic Soils</t>
  </si>
  <si>
    <t>Spodosols</t>
  </si>
  <si>
    <t>Spodic Soils</t>
  </si>
  <si>
    <t>High Activity Clay Soils</t>
  </si>
  <si>
    <t>Entisols, Gelisols, Oxisols, Utisols</t>
  </si>
  <si>
    <t>Low Activity Clay Soils</t>
  </si>
  <si>
    <t>Release date: May 2018</t>
  </si>
  <si>
    <t xml:space="preserve"># Downloaded from https://www.eia.gov/consumption/residential/data/2015/index.php?view=consumption#by%20fuel </t>
  </si>
  <si>
    <t>Table CE2.3</t>
  </si>
  <si>
    <t>Table CE2.3  Annual household site fuel consumption in the Midwest—totals and averages, 2015</t>
  </si>
  <si>
    <t>Number of housing units (million)</t>
  </si>
  <si>
    <r>
      <t>Total site energy consumption</t>
    </r>
    <r>
      <rPr>
        <b/>
        <vertAlign val="superscript"/>
        <sz val="10"/>
        <color theme="1"/>
        <rFont val="Calibri"/>
        <family val="2"/>
        <scheme val="minor"/>
      </rPr>
      <t xml:space="preserve">1
</t>
    </r>
    <r>
      <rPr>
        <b/>
        <sz val="10"/>
        <color theme="1"/>
        <rFont val="Calibri"/>
        <family val="2"/>
        <scheme val="minor"/>
      </rPr>
      <t>(trillion Btu)</t>
    </r>
  </si>
  <si>
    <r>
      <t>Average site energy consumption</t>
    </r>
    <r>
      <rPr>
        <b/>
        <vertAlign val="superscript"/>
        <sz val="10"/>
        <color theme="1"/>
        <rFont val="Calibri"/>
        <family val="2"/>
        <scheme val="minor"/>
      </rPr>
      <t xml:space="preserve">1
</t>
    </r>
    <r>
      <rPr>
        <b/>
        <sz val="10"/>
        <color theme="1"/>
        <rFont val="Calibri"/>
        <family val="2"/>
        <scheme val="minor"/>
      </rPr>
      <t>(million Btu per household using the fuel)</t>
    </r>
  </si>
  <si>
    <r>
      <t>Total Midwest</t>
    </r>
    <r>
      <rPr>
        <b/>
        <vertAlign val="superscript"/>
        <sz val="10"/>
        <color theme="1"/>
        <rFont val="Calibri"/>
        <family val="2"/>
        <scheme val="minor"/>
      </rPr>
      <t>2</t>
    </r>
  </si>
  <si>
    <t>Propane</t>
  </si>
  <si>
    <t>Fuel oil/ kerosene</t>
  </si>
  <si>
    <t>All homes</t>
  </si>
  <si>
    <t>Q</t>
  </si>
  <si>
    <t>Census division</t>
  </si>
  <si>
    <t/>
  </si>
  <si>
    <t>East North Central</t>
  </si>
  <si>
    <t>West North Central</t>
  </si>
  <si>
    <r>
      <t>Census urban/rural classification</t>
    </r>
    <r>
      <rPr>
        <b/>
        <vertAlign val="superscript"/>
        <sz val="10"/>
        <color theme="1"/>
        <rFont val="Calibri"/>
        <family val="2"/>
        <scheme val="minor"/>
      </rPr>
      <t>3</t>
    </r>
  </si>
  <si>
    <t>Urbanized area</t>
  </si>
  <si>
    <t>Urban cluster</t>
  </si>
  <si>
    <t>Metropolitan or micropolitan statistical area</t>
  </si>
  <si>
    <t>In metropolitan statistical area</t>
  </si>
  <si>
    <t>In micropolitan statistical area</t>
  </si>
  <si>
    <t>Not in metropolitan or micropolitan statistical area</t>
  </si>
  <si>
    <r>
      <t>Climate region</t>
    </r>
    <r>
      <rPr>
        <b/>
        <vertAlign val="superscript"/>
        <sz val="10"/>
        <color theme="1"/>
        <rFont val="Calibri"/>
        <family val="2"/>
        <scheme val="minor"/>
      </rPr>
      <t>4</t>
    </r>
  </si>
  <si>
    <t>Very cold/Cold</t>
  </si>
  <si>
    <t>Mixed-humid</t>
  </si>
  <si>
    <t>Mixed-dry/Hot-dry</t>
  </si>
  <si>
    <t>N</t>
  </si>
  <si>
    <t>Hot-humid</t>
  </si>
  <si>
    <t>Marine</t>
  </si>
  <si>
    <t>Housing unit type</t>
  </si>
  <si>
    <t>Single-family detached</t>
  </si>
  <si>
    <t>Single-family attached</t>
  </si>
  <si>
    <r>
      <t>Apartments in buildings with 2</t>
    </r>
    <r>
      <rPr>
        <sz val="10"/>
        <color theme="1"/>
        <rFont val="Calibri"/>
        <family val="2"/>
      </rPr>
      <t>–</t>
    </r>
    <r>
      <rPr>
        <sz val="10"/>
        <color theme="1"/>
        <rFont val="Calibri"/>
        <family val="2"/>
        <scheme val="minor"/>
      </rPr>
      <t>4 units</t>
    </r>
  </si>
  <si>
    <t>Apartments in buildings with 5 or more units</t>
  </si>
  <si>
    <t>Mobile homes</t>
  </si>
  <si>
    <t>Ownership of housing unit</t>
  </si>
  <si>
    <t>Owned</t>
  </si>
  <si>
    <t>Single-family</t>
  </si>
  <si>
    <t>Apartments</t>
  </si>
  <si>
    <r>
      <t>Rented</t>
    </r>
    <r>
      <rPr>
        <vertAlign val="superscript"/>
        <sz val="10"/>
        <color theme="1"/>
        <rFont val="Calibri"/>
        <family val="2"/>
        <scheme val="minor"/>
      </rPr>
      <t>5</t>
    </r>
  </si>
  <si>
    <t>Year of construction</t>
  </si>
  <si>
    <t>Before 1950</t>
  </si>
  <si>
    <t>1950 to 1959</t>
  </si>
  <si>
    <t>1960 to 1969</t>
  </si>
  <si>
    <t>1970 to 1979</t>
  </si>
  <si>
    <t>1980 to 1989</t>
  </si>
  <si>
    <t>1990 to 1999</t>
  </si>
  <si>
    <t>2000 to 2009</t>
  </si>
  <si>
    <t>2010 to 2015</t>
  </si>
  <si>
    <r>
      <t>Total square footage</t>
    </r>
    <r>
      <rPr>
        <b/>
        <vertAlign val="superscript"/>
        <sz val="10"/>
        <color theme="1"/>
        <rFont val="Calibri"/>
        <family val="2"/>
        <scheme val="minor"/>
      </rPr>
      <t>6</t>
    </r>
  </si>
  <si>
    <t>Fewer than 1,000</t>
  </si>
  <si>
    <t>1,000 to 1,499</t>
  </si>
  <si>
    <t>1,500 to 1,999</t>
  </si>
  <si>
    <t>2,000 to 2,499</t>
  </si>
  <si>
    <t>2,500 to 2,999</t>
  </si>
  <si>
    <t>3,000 or greater</t>
  </si>
  <si>
    <t>Number of household members</t>
  </si>
  <si>
    <t>1 member</t>
  </si>
  <si>
    <t>2 members</t>
  </si>
  <si>
    <t>3 members</t>
  </si>
  <si>
    <t>4 members</t>
  </si>
  <si>
    <t>5 members</t>
  </si>
  <si>
    <t>6 or more members</t>
  </si>
  <si>
    <t>2015 annual household income</t>
  </si>
  <si>
    <t>Less than $20,000</t>
  </si>
  <si>
    <t>$20,000 to $39,999</t>
  </si>
  <si>
    <t>$40,000 to $59,999</t>
  </si>
  <si>
    <t>$60,000 to $79,999</t>
  </si>
  <si>
    <t>$80,000 to $99,999</t>
  </si>
  <si>
    <t>$100,000 to $119,999</t>
  </si>
  <si>
    <t>$120,000 to $139,999</t>
  </si>
  <si>
    <t>$140,000 or more</t>
  </si>
  <si>
    <t>Payment method for energy bills</t>
  </si>
  <si>
    <t>All paid by household</t>
  </si>
  <si>
    <t>Some paid by household, some included in rent or condo fee</t>
  </si>
  <si>
    <t>All included in rent or condo fee</t>
  </si>
  <si>
    <t>Some other method</t>
  </si>
  <si>
    <t>Main heating fuel</t>
  </si>
  <si>
    <t>Fuel oil/kerosene</t>
  </si>
  <si>
    <r>
      <t xml:space="preserve">     </t>
    </r>
    <r>
      <rPr>
        <vertAlign val="superscript"/>
        <sz val="9"/>
        <color theme="1"/>
        <rFont val="Calibri"/>
        <family val="2"/>
        <scheme val="minor"/>
      </rPr>
      <t>1</t>
    </r>
    <r>
      <rPr>
        <sz val="9"/>
        <color theme="1"/>
        <rFont val="Calibri"/>
        <family val="2"/>
        <scheme val="minor"/>
      </rPr>
      <t>Consumption and expenditures for biomass (wood), coal, district steam, and solar thermal are excluded. Electricity consumption from on-site solar photovoltaic generation (i.e., solar panels) is included.</t>
    </r>
    <r>
      <rPr>
        <vertAlign val="superscript"/>
        <sz val="9"/>
        <color theme="1"/>
        <rFont val="Calibri"/>
        <family val="2"/>
        <scheme val="minor"/>
      </rPr>
      <t xml:space="preserve">
</t>
    </r>
    <r>
      <rPr>
        <sz val="9"/>
        <color theme="1"/>
        <rFont val="Calibri"/>
        <family val="2"/>
        <scheme val="minor"/>
      </rPr>
      <t xml:space="preserve">     </t>
    </r>
    <r>
      <rPr>
        <vertAlign val="superscript"/>
        <sz val="9"/>
        <color theme="1"/>
        <rFont val="Calibri"/>
        <family val="2"/>
        <scheme val="minor"/>
      </rPr>
      <t>2</t>
    </r>
    <r>
      <rPr>
        <sz val="9"/>
        <color theme="1"/>
        <rFont val="Calibri"/>
        <family val="2"/>
        <scheme val="minor"/>
      </rPr>
      <t xml:space="preserve">Total Midwest includes all primary occupied housing units in the Midwest Census Region. Vacant housing units, seasonal units, second homes, military houses, and group quarters are excluded.
     </t>
    </r>
    <r>
      <rPr>
        <vertAlign val="superscript"/>
        <sz val="9"/>
        <color theme="1"/>
        <rFont val="Calibri"/>
        <family val="2"/>
        <scheme val="minor"/>
      </rPr>
      <t>3</t>
    </r>
    <r>
      <rPr>
        <sz val="9"/>
        <color theme="1"/>
        <rFont val="Calibri"/>
        <family val="2"/>
        <scheme val="minor"/>
      </rPr>
      <t xml:space="preserve">Housing units are classified using criteria created by the U.S. Census Bureau based on 2010 Census data. Urbanized areas are densely settled groupings of blocks or tracts with 50,000 or more people. Urban clusters have at least 2,500 but less than 50,000 people. All other areas are rural.
     </t>
    </r>
    <r>
      <rPr>
        <vertAlign val="superscript"/>
        <sz val="9"/>
        <color theme="1"/>
        <rFont val="Calibri"/>
        <family val="2"/>
        <scheme val="minor"/>
      </rPr>
      <t>4</t>
    </r>
    <r>
      <rPr>
        <sz val="9"/>
        <color theme="1"/>
        <rFont val="Calibri"/>
        <family val="2"/>
        <scheme val="minor"/>
      </rPr>
      <t xml:space="preserve">These climate regions were created by the Building America program, sponsored by the U.S. Department of Energy’s Office of Energy Efficiency and Renewable Energy (EERE).         
     </t>
    </r>
    <r>
      <rPr>
        <vertAlign val="superscript"/>
        <sz val="9"/>
        <color theme="1"/>
        <rFont val="Calibri"/>
        <family val="2"/>
        <scheme val="minor"/>
      </rPr>
      <t>5</t>
    </r>
    <r>
      <rPr>
        <sz val="9"/>
        <color theme="1"/>
        <rFont val="Calibri"/>
        <family val="2"/>
        <scheme val="minor"/>
      </rPr>
      <t xml:space="preserve">Rented includes households that occupy their primary housing units without paying rent.
     </t>
    </r>
    <r>
      <rPr>
        <vertAlign val="superscript"/>
        <sz val="9"/>
        <color theme="1"/>
        <rFont val="Calibri"/>
        <family val="2"/>
        <scheme val="minor"/>
      </rPr>
      <t>6</t>
    </r>
    <r>
      <rPr>
        <sz val="9"/>
        <color theme="1"/>
        <rFont val="Calibri"/>
        <family val="2"/>
        <scheme val="minor"/>
      </rPr>
      <t>Total square footage includes all basements, finished or conditioned (heated or cooled) areas of attics, and conditioned garage space that is attached to the home. Unconditioned and unfinished areas in attics and attached garages are excluded. The square footage for some housing units was calculated based on measurements taken by the interviewer. For households responding without the presence of an interviewer, square footage was imputed based on characteristics of the housing unit. See 2015 RECS Square Footage Methodology for full details about data collection and processing.
     Q = Data withheld because either the Relative Standard Error (RSE) was greater than 50% or fewer than 10 cases responded.
     N = No cases responded.
     Notes:  Because of rounding, data may not sum to totals.  See RECS Terminology for definition of terms used in these tables.
     Source: U.S. Energy Information Administration, Office of Energy Consumption and Efficiency Statistics, Forms EIA-457A, C, D, E, F, G of the 2015 Residential Energy Consumption Survey.</t>
    </r>
  </si>
  <si>
    <t># source notes below</t>
  </si>
  <si>
    <r>
      <t>Table 4-43:  Estimated National Average Vehicle Emissions Rates per Vehicle by Vehicle Type using Gasoline and Diesel</t>
    </r>
    <r>
      <rPr>
        <sz val="12"/>
        <rFont val="Arial"/>
        <family val="2"/>
      </rPr>
      <t xml:space="preserve"> </t>
    </r>
    <r>
      <rPr>
        <b/>
        <sz val="12"/>
        <rFont val="Arial"/>
        <family val="2"/>
      </rPr>
      <t>(Grams per mile)</t>
    </r>
  </si>
  <si>
    <t>slope 2000-2020</t>
  </si>
  <si>
    <t>intercept 2000-2020</t>
  </si>
  <si>
    <t>GASOLINE</t>
  </si>
  <si>
    <t>Light-duty vehicles</t>
  </si>
  <si>
    <t>Total HC</t>
  </si>
  <si>
    <t>Exhaust CO</t>
  </si>
  <si>
    <t>Exhaust NOx</t>
  </si>
  <si>
    <t>Exhaust PM2.5</t>
  </si>
  <si>
    <t>Brakewear PM2.5</t>
  </si>
  <si>
    <t>Tirewear PM2.5</t>
  </si>
  <si>
    <t>Light-duty trucks</t>
  </si>
  <si>
    <t>Heavy-duty vehicles</t>
  </si>
  <si>
    <t>Motorcycles</t>
  </si>
  <si>
    <t>DIESEL</t>
  </si>
  <si>
    <t>Average Emissions Per Vehicle, Gasoline and Diesel Fleet</t>
  </si>
  <si>
    <r>
      <t xml:space="preserve">KEY: </t>
    </r>
    <r>
      <rPr>
        <sz val="9"/>
        <rFont val="Arial"/>
        <family val="2"/>
      </rPr>
      <t>CO = carbon monoxide; HC = hydrocarbons; NOx = nitrogen oxides; P = projection; PM2.5 = particulate matter with diameter &lt;= 2.5 micrometers; R = revised.</t>
    </r>
  </si>
  <si>
    <t>NOTES</t>
  </si>
  <si>
    <t xml:space="preserve">Estimates are by calendar year. Vehicles types are defined as follows: light-duty vehicles (passenger cars); light-duty trucks (two axle, four tire); heavy-duty vehicles (trucks with more than two axles or four tires); motorcycle (highway only). </t>
  </si>
  <si>
    <t>Emissions factors are averages based on the national average age distributions, vehicle activity (speeds, operating modes, vehicle-miles traveled fractions, starts and idling), temperatures, inspection/maintenance and antitampering programs, and average gasoline fuel properties in that calendar year. Total HC includes exhaust and evaporative emissions.</t>
  </si>
  <si>
    <t>Average emissions per vehicle rates assume a fleet comprised exclusively of gasoline and diesel vehicles.  Gasoline-electric hybrids are accounted for in the values for gasoline vehicles.</t>
  </si>
  <si>
    <t>This table was generated using MOVES3, the U.S. Environmental Protection Agency's (EPA) mobile source emissions model. More information on MOVES is available at www.epa.gov/moves.</t>
  </si>
  <si>
    <t xml:space="preserve">Data for this update are based on new estimation models and are not comparable to previous releases. MOVES3 includes updates to historical data and methods as well as updates to future year projections and thus provides the current best estimates of emissions for all calendar years. Data for 2021 and later are projections. </t>
  </si>
  <si>
    <t>SOURCE</t>
  </si>
  <si>
    <t>U.S. Environmental Protection Agency, Office of Transportation and Air Quality, personal communication, Apr. 30, 2021.</t>
  </si>
  <si>
    <t>https://www.bts.gov/content/estimated-national-average-vehicle-emissions-rates-vehicle-vehicle-type-using-gasoline-and</t>
  </si>
  <si>
    <t>downloaded 8/22/22</t>
  </si>
  <si>
    <t xml:space="preserve">BM Note: HCs are the same as VOCs and ROGs for these purposes. See https://foobot.io/guides/difference-between-hydrocarbons-and-volatile-organic-compounds.php </t>
  </si>
  <si>
    <t>In-State Generation-2017 (MWh)</t>
  </si>
  <si>
    <t>ROG</t>
  </si>
  <si>
    <t>NOX</t>
  </si>
  <si>
    <t>PM</t>
  </si>
  <si>
    <t>PM10</t>
  </si>
  <si>
    <t>PM2.5</t>
  </si>
  <si>
    <t>(MT/MWh)</t>
  </si>
  <si>
    <t>(MT/kWh)</t>
  </si>
  <si>
    <t>(lbs/MWh)</t>
  </si>
  <si>
    <t>(lbs/kWh)</t>
  </si>
  <si>
    <t>Tract No.</t>
  </si>
  <si>
    <t>Label (Grouping)</t>
  </si>
  <si>
    <t>DU/Ac</t>
  </si>
  <si>
    <t>Acres of Land</t>
  </si>
  <si>
    <t>YEAR STRUCTURE BUILT!!Total housing units</t>
  </si>
  <si>
    <t>YEAR STRUCTURE BUILT!!Total housing units!!Built 2014 or later</t>
  </si>
  <si>
    <t>YEAR STRUCTURE BUILT!!Total housing units!!Built 2010 to 2013</t>
  </si>
  <si>
    <t>YEAR STRUCTURE BUILT!!Total housing units!!Built 2000 to 2009</t>
  </si>
  <si>
    <t>YEAR STRUCTURE BUILT!!Total housing units!!Built 1990 to 1999</t>
  </si>
  <si>
    <t>YEAR STRUCTURE BUILT!!Total housing units!!Built 1980 to 1989</t>
  </si>
  <si>
    <t>YEAR STRUCTURE BUILT!!Total housing units!!Built 1970 to 1979</t>
  </si>
  <si>
    <t>YEAR STRUCTURE BUILT!!Total housing units!!Built 1960 to 1969</t>
  </si>
  <si>
    <t>YEAR STRUCTURE BUILT!!Total housing units!!Built 1950 to 1959</t>
  </si>
  <si>
    <t>YEAR STRUCTURE BUILT!!Total housing units!!Built 1940 to 1949</t>
  </si>
  <si>
    <t>YEAR STRUCTURE BUILT!!Total housing units!!Built 1939 or earlier</t>
  </si>
  <si>
    <t>    Estimate</t>
  </si>
  <si>
    <t># Data downloaded from https://nhts.ornl.gov/  on 8/16/22</t>
  </si>
  <si>
    <t># Table designer analysis variable Households, row variable HHSTATE, Column variable HHVEHCNT, page variable HBHUR</t>
  </si>
  <si>
    <t># Bonnie McGill</t>
  </si>
  <si>
    <t>data type</t>
  </si>
  <si>
    <t>urban/rural indicator</t>
  </si>
  <si>
    <t>state</t>
  </si>
  <si>
    <t>All</t>
  </si>
  <si>
    <t>Average # vehicles per household</t>
  </si>
  <si>
    <t>number of households (thousands)</t>
  </si>
  <si>
    <t>second city</t>
  </si>
  <si>
    <t>AK</t>
  </si>
  <si>
    <t>AL</t>
  </si>
  <si>
    <t>AR</t>
  </si>
  <si>
    <t>AZ</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</si>
  <si>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</si>
  <si>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</si>
  <si>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</si>
  <si>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</si>
  <si>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</si>
  <si>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</si>
  <si>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</si>
  <si>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</si>
  <si>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</si>
  <si>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</si>
  <si>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</si>
  <si>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</si>
  <si>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</si>
  <si>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</si>
  <si>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</si>
  <si>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</si>
  <si>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</si>
  <si>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</si>
  <si>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</si>
  <si>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</si>
  <si>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</si>
  <si>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</si>
  <si>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</si>
  <si>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</si>
  <si>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</si>
  <si>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</si>
  <si>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</si>
  <si>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</si>
  <si>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</si>
  <si>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</si>
  <si>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</si>
  <si>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</si>
  <si>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</si>
  <si>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</si>
  <si>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</si>
  <si>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</si>
  <si>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</si>
  <si>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</si>
  <si>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</si>
  <si>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</si>
  <si>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</si>
  <si>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</si>
  <si>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</si>
  <si>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</si>
  <si>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</si>
  <si>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rural</t>
  </si>
  <si>
    <t>suburban</t>
  </si>
  <si>
    <t>DC</t>
  </si>
  <si>
    <t>small town</t>
  </si>
  <si>
    <t>urban</t>
  </si>
  <si>
    <t>sample size</t>
  </si>
  <si>
    <t>.</t>
  </si>
  <si>
    <t>CARB QM step</t>
  </si>
  <si>
    <t>Data type</t>
  </si>
  <si>
    <t>Geographic scale we used</t>
  </si>
  <si>
    <t>Geographic coverage of same dataset</t>
  </si>
  <si>
    <t>number of HU</t>
  </si>
  <si>
    <t>parcel spatial data</t>
  </si>
  <si>
    <t>city</t>
  </si>
  <si>
    <t>city zoning</t>
  </si>
  <si>
    <t>census tract for parcel</t>
  </si>
  <si>
    <t>input</t>
  </si>
  <si>
    <t>population density</t>
  </si>
  <si>
    <t>Census Demographic Data Map Viewer</t>
  </si>
  <si>
    <t>soil taxonomy</t>
  </si>
  <si>
    <t>SoilWeb</t>
  </si>
  <si>
    <t>parcel zip code</t>
  </si>
  <si>
    <t>parcel PDF - probably a national way to get zip code</t>
  </si>
  <si>
    <t>equation 2</t>
  </si>
  <si>
    <t>MPG</t>
  </si>
  <si>
    <t>Federal Highway Administration</t>
  </si>
  <si>
    <t>average daily VMT for Tazewell County</t>
  </si>
  <si>
    <t>IL Travel Statistics</t>
  </si>
  <si>
    <t>county</t>
  </si>
  <si>
    <t>passenger vehicles as a % of all vehicles on the road</t>
  </si>
  <si>
    <t>(from the above calculate gal per day, g CO2/day, g CO2/mile)</t>
  </si>
  <si>
    <t>equations 3 and 4</t>
  </si>
  <si>
    <t>county urban vs rural housing units</t>
  </si>
  <si>
    <t>Decennial Census</t>
  </si>
  <si>
    <t>proportion of urban vs rural AVMT</t>
  </si>
  <si>
    <t>IL Travel statistics</t>
  </si>
  <si>
    <t>daily VMT in county</t>
  </si>
  <si>
    <t>equation 5</t>
  </si>
  <si>
    <t>grid CO2 emission factor</t>
  </si>
  <si>
    <t xml:space="preserve">EPA Power Profiler </t>
  </si>
  <si>
    <t>new single family HH rural vs urban electrical consumption in Midwest region</t>
  </si>
  <si>
    <t>Energy Information Administration Residential Energy Consumption Survey (RECS)</t>
  </si>
  <si>
    <t>equation 6</t>
  </si>
  <si>
    <t>therms per DU/HH per year for Midwest urban areas</t>
  </si>
  <si>
    <t>equation 7</t>
  </si>
  <si>
    <t>just need soil type and project acres</t>
  </si>
  <si>
    <t>equation 8 (co-benefits)</t>
  </si>
  <si>
    <t>non-CO2 vehicle emission rates by vehicle type</t>
  </si>
  <si>
    <t>Bureau of Transportation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</si>
</sst>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00"/>
    <numFmt numFmtId="165" formatCode="_(* #,##0.0_);_(* \(#,##0.0\);_(* &quot;-&quot;??_);_(@_)"/>
    <numFmt numFmtId="166" formatCode="_(* #,##0_);_(* \(#,##0\);_(* &quot;-&quot;??_);_(@_)"/>
    <numFmt numFmtId="167" formatCode="\(\R\)\ General"/>
    <numFmt numFmtId="168" formatCode="\(\P\)\ General"/>
    <numFmt numFmtId="169" formatCode="0.0_)"/>
    <numFmt numFmtId="170" formatCode="#,##0.0_);\(#,##0.0\)"/>
    <numFmt numFmtId="171" formatCode="0.0"/>
    <numFmt numFmtId="172" formatCode="0.000000"/>
    <numFmt numFmtId="173" formatCode="_(* #,##0.000_);_(* \(#,##0.000\);_(* &quot;-&quot;??_);_(@_)"/>
    <numFmt numFmtId="174" formatCode="0.0%"/>
  </numFmts>
  <fonts count="87">
    <font>
      <sz val="11"/>
      <color theme="1"/>
      <name val="Calibri"/>
      <family val="2"/>
      <scheme val="minor"/>
    </font>
    <font>
      <sz val="10"/>
      <color theme="1"/>
      <name val="Roboto"/>
      <family val="2"/>
    </font>
    <font>
      <sz val="10"/>
      <color theme="1"/>
      <name val="Roboto"/>
      <family val="2"/>
    </font>
    <font>
      <sz val="10"/>
      <color theme="1"/>
      <name val="Roboto"/>
      <family val="2"/>
    </font>
    <font>
      <sz val="10"/>
      <color theme="1"/>
      <name val="Roboto"/>
      <family val="2"/>
    </font>
    <font>
      <sz val="11"/>
      <color theme="1"/>
      <name val="Calibri"/>
      <family val="2"/>
      <scheme val="minor"/>
    </font>
    <font>
      <sz val="11"/>
      <color theme="1"/>
      <name val="Roboto"/>
    </font>
    <font>
      <sz val="10"/>
      <color theme="1"/>
      <name val="Roboto"/>
    </font>
    <font>
      <u/>
      <sz val="11"/>
      <color theme="10"/>
      <name val="Calibri"/>
      <family val="2"/>
      <scheme val="minor"/>
    </font>
    <font>
      <u/>
      <sz val="11"/>
      <color theme="10"/>
      <name val="Roboto"/>
    </font>
    <font>
      <b/>
      <sz val="11"/>
      <color theme="1"/>
      <name val="Roboto"/>
    </font>
    <font>
      <sz val="7"/>
      <color rgb="FF000000"/>
      <name val="Verdana"/>
      <family val="2"/>
    </font>
    <font>
      <b/>
      <sz val="14"/>
      <color theme="1"/>
      <name val="Roboto"/>
    </font>
    <font>
      <sz val="14"/>
      <color theme="1"/>
      <name val="Roboto"/>
    </font>
    <font>
      <vertAlign val="subscript"/>
      <sz val="11"/>
      <color theme="1"/>
      <name val="Roboto"/>
    </font>
    <font>
      <b/>
      <vertAlign val="subscript"/>
      <sz val="11"/>
      <color theme="1"/>
      <name val="Roboto"/>
    </font>
    <font>
      <i/>
      <sz val="11"/>
      <color theme="1"/>
      <name val="Roboto"/>
    </font>
    <font>
      <sz val="6"/>
      <name val="P-AVGARD"/>
    </font>
    <font>
      <sz val="10"/>
      <name val="P-AVGARD"/>
    </font>
    <font>
      <b/>
      <vertAlign val="subscript"/>
      <sz val="14"/>
      <color theme="1"/>
      <name val="Roboto"/>
    </font>
    <font>
      <sz val="11"/>
      <color theme="0" tint="-0.499984740745262"/>
      <name val="Calibri"/>
      <family val="2"/>
      <scheme val="minor"/>
    </font>
    <font>
      <b/>
      <sz val="12"/>
      <color theme="4"/>
      <name val="Calibri"/>
      <family val="2"/>
      <scheme val="minor"/>
    </font>
    <font>
      <b/>
      <sz val="10"/>
      <color theme="4"/>
      <name val="Calibri"/>
      <family val="2"/>
      <scheme val="minor"/>
    </font>
    <font>
      <b/>
      <sz val="9"/>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sz val="9"/>
      <color theme="1"/>
      <name val="Calibri"/>
      <family val="2"/>
      <scheme val="minor"/>
    </font>
    <font>
      <sz val="10"/>
      <color theme="1"/>
      <name val="Calibri"/>
      <family val="2"/>
    </font>
    <font>
      <vertAlign val="superscript"/>
      <sz val="10"/>
      <color theme="1"/>
      <name val="Calibri"/>
      <family val="2"/>
      <scheme val="minor"/>
    </font>
    <font>
      <vertAlign val="superscript"/>
      <sz val="9"/>
      <color theme="1"/>
      <name val="Calibri"/>
      <family val="2"/>
      <scheme val="minor"/>
    </font>
    <font>
      <sz val="10"/>
      <name val="Arial"/>
      <family val="2"/>
    </font>
    <font>
      <b/>
      <sz val="12"/>
      <name val="Arial"/>
      <family val="2"/>
    </font>
    <font>
      <sz val="12"/>
      <name val="Arial"/>
      <family val="2"/>
    </font>
    <font>
      <b/>
      <sz val="11"/>
      <name val="Arial Narrow"/>
      <family val="2"/>
    </font>
    <font>
      <sz val="11"/>
      <name val="Arial Narrow"/>
      <family val="2"/>
    </font>
    <font>
      <i/>
      <sz val="11"/>
      <name val="Arial Narrow"/>
      <family val="2"/>
    </font>
    <font>
      <b/>
      <i/>
      <sz val="11"/>
      <name val="Arial Narrow"/>
      <family val="2"/>
    </font>
    <font>
      <b/>
      <sz val="9"/>
      <name val="Arial"/>
      <family val="2"/>
    </font>
    <font>
      <sz val="9"/>
      <name val="Arial"/>
      <family val="2"/>
    </font>
    <font>
      <i/>
      <sz val="11"/>
      <color theme="4" tint="-0.499984740745262"/>
      <name val="Roboto"/>
    </font>
    <font>
      <sz val="10"/>
      <name val="AvantGarde"/>
      <family val="2"/>
    </font>
    <font>
      <sz val="10"/>
      <color indexed="8"/>
      <name val="AvantGarde"/>
      <family val="2"/>
    </font>
    <font>
      <sz val="8"/>
      <color indexed="81"/>
      <name val="Tahoma"/>
      <family val="2"/>
    </font>
    <font>
      <sz val="10"/>
      <color theme="1"/>
      <name val="Arial"/>
      <family val="2"/>
    </font>
    <font>
      <sz val="10"/>
      <color indexed="8"/>
      <name val="Arial"/>
      <family val="2"/>
    </font>
    <font>
      <sz val="9"/>
      <color theme="1"/>
      <name val="Roboto"/>
      <family val="2"/>
    </font>
    <font>
      <sz val="10"/>
      <color theme="4" tint="-0.249977111117893"/>
      <name val="Roboto"/>
      <family val="2"/>
    </font>
    <font>
      <b/>
      <sz val="10"/>
      <color theme="1"/>
      <name val="Roboto"/>
    </font>
    <font>
      <b/>
      <sz val="10"/>
      <color theme="0"/>
      <name val="Roboto"/>
    </font>
    <font>
      <b/>
      <sz val="12"/>
      <color theme="1"/>
      <name val="Avenir LT Std 55 Roman"/>
      <family val="2"/>
    </font>
    <font>
      <sz val="12"/>
      <color theme="1"/>
      <name val="Avenir LT Std 55 Roman"/>
      <family val="2"/>
    </font>
    <font>
      <sz val="10"/>
      <color theme="1"/>
      <name val="Avenir LT Std 55 Roman"/>
      <family val="2"/>
    </font>
    <font>
      <vertAlign val="subscript"/>
      <sz val="10"/>
      <color theme="1"/>
      <name val="Avenir LT Std 55 Roman"/>
      <family val="2"/>
    </font>
    <font>
      <b/>
      <sz val="10"/>
      <color rgb="FF000000"/>
      <name val="Calibri"/>
      <family val="2"/>
      <scheme val="minor"/>
    </font>
    <font>
      <sz val="10"/>
      <color rgb="FF000000"/>
      <name val="Calibri"/>
      <family val="2"/>
      <scheme val="minor"/>
    </font>
    <font>
      <sz val="10"/>
      <name val="Calibri"/>
      <family val="2"/>
      <scheme val="minor"/>
    </font>
    <font>
      <sz val="12"/>
      <color theme="1"/>
      <name val="Roboto"/>
    </font>
    <font>
      <sz val="11"/>
      <color rgb="FF000000"/>
      <name val="Roboto"/>
    </font>
    <font>
      <sz val="8"/>
      <color theme="1"/>
      <name val="Roboto"/>
      <family val="2"/>
    </font>
    <font>
      <vertAlign val="superscript"/>
      <sz val="11"/>
      <color theme="1"/>
      <name val="Roboto"/>
    </font>
    <font>
      <vertAlign val="subscript"/>
      <sz val="10"/>
      <color theme="1"/>
      <name val="Roboto"/>
    </font>
    <font>
      <vertAlign val="superscript"/>
      <sz val="10"/>
      <color theme="1"/>
      <name val="Roboto"/>
    </font>
    <font>
      <i/>
      <sz val="14"/>
      <color theme="1"/>
      <name val="Roboto"/>
    </font>
    <font>
      <sz val="11"/>
      <name val="Roboto"/>
    </font>
    <font>
      <sz val="11"/>
      <color theme="0"/>
      <name val="Roboto"/>
    </font>
    <font>
      <sz val="8"/>
      <name val="Calibri"/>
      <family val="2"/>
      <scheme val="minor"/>
    </font>
    <font>
      <sz val="10"/>
      <name val="Roboto"/>
      <family val="2"/>
    </font>
    <font>
      <vertAlign val="subscript"/>
      <sz val="9"/>
      <color theme="1"/>
      <name val="Roboto"/>
    </font>
    <font>
      <b/>
      <sz val="9"/>
      <color theme="1"/>
      <name val="Roboto"/>
    </font>
    <font>
      <b/>
      <sz val="20"/>
      <color theme="1"/>
      <name val="Roboto Black"/>
    </font>
    <font>
      <sz val="20"/>
      <color theme="1"/>
      <name val="Roboto Black"/>
    </font>
    <font>
      <vertAlign val="subscript"/>
      <sz val="11"/>
      <color rgb="FF000000"/>
      <name val="Roboto"/>
    </font>
    <font>
      <sz val="18"/>
      <color theme="1"/>
      <name val="Roboto Black"/>
    </font>
    <font>
      <b/>
      <i/>
      <sz val="11"/>
      <color rgb="FF00B050"/>
      <name val="Roboto"/>
    </font>
    <font>
      <b/>
      <sz val="11"/>
      <color rgb="FFFF0000"/>
      <name val="Roboto"/>
    </font>
    <font>
      <b/>
      <u/>
      <sz val="11"/>
      <color rgb="FFFF0000"/>
      <name val="Roboto"/>
    </font>
    <font>
      <b/>
      <sz val="10"/>
      <name val="Calibri"/>
      <family val="2"/>
      <scheme val="minor"/>
    </font>
    <font>
      <sz val="10"/>
      <color rgb="FF0FB00F"/>
      <name val="Calibri"/>
      <family val="2"/>
      <scheme val="minor"/>
    </font>
    <font>
      <i/>
      <sz val="10"/>
      <name val="Calibri"/>
      <family val="2"/>
      <scheme val="minor"/>
    </font>
    <font>
      <i/>
      <vertAlign val="subscript"/>
      <sz val="10"/>
      <name val="Calibri"/>
      <family val="2"/>
      <scheme val="minor"/>
    </font>
    <font>
      <sz val="11"/>
      <color rgb="FF0FB00F"/>
      <name val="Roboto"/>
    </font>
    <font>
      <i/>
      <sz val="9"/>
      <color theme="1"/>
      <name val="Roboto"/>
    </font>
    <font>
      <sz val="9"/>
      <color theme="1"/>
      <name val="Roboto"/>
    </font>
    <font>
      <sz val="11"/>
      <color rgb="FF00B050"/>
      <name val="Roboto"/>
    </font>
    <font>
      <sz val="11"/>
      <color rgb="FFFF0000"/>
      <name val="Roboto"/>
    </font>
    <font>
      <i/>
      <sz val="11"/>
      <color rgb="FF00B050"/>
      <name val="Roboto"/>
    </font>
  </fonts>
  <fills count="24">
    <fill>
      <patternFill patternType="none"/>
    </fill>
    <fill>
      <patternFill patternType="gray125"/>
    </fill>
    <fill>
      <patternFill patternType="solid">
        <fgColor rgb="FFFFFF00"/>
        <bgColor indexed="64"/>
      </patternFill>
    </fill>
    <fill>
      <patternFill patternType="solid">
        <fgColor rgb="FF66FF66"/>
        <bgColor indexed="64"/>
      </patternFill>
    </fill>
    <fill>
      <patternFill patternType="solid">
        <fgColor theme="2"/>
        <bgColor indexed="64"/>
      </patternFill>
    </fill>
    <fill>
      <patternFill patternType="solid">
        <fgColor rgb="FF00B0F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9" tint="0.3999450666829432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0C0C0"/>
        <bgColor indexed="64"/>
      </patternFill>
    </fill>
    <fill>
      <patternFill patternType="solid">
        <fgColor rgb="FFFFFFFF"/>
        <bgColor indexed="64"/>
      </patternFill>
    </fill>
    <fill>
      <patternFill patternType="solid">
        <fgColor theme="7"/>
        <bgColor indexed="64"/>
      </patternFill>
    </fill>
    <fill>
      <patternFill patternType="solid">
        <fgColor theme="1"/>
        <bgColor indexed="64"/>
      </patternFill>
    </fill>
    <fill>
      <patternFill patternType="solid">
        <fgColor theme="5" tint="-0.249977111117893"/>
        <bgColor indexed="64"/>
      </patternFill>
    </fill>
    <fill>
      <patternFill patternType="solid">
        <fgColor rgb="FFCCCCFF"/>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6699FF"/>
        <bgColor indexed="64"/>
      </patternFill>
    </fill>
    <fill>
      <patternFill patternType="solid">
        <fgColor rgb="FFA7FFFF"/>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style="thick">
        <color theme="0"/>
      </left>
      <right style="thick">
        <color theme="0"/>
      </right>
      <top/>
      <bottom style="thin">
        <color theme="0" tint="-0.24994659260841701"/>
      </bottom>
      <diagonal/>
    </border>
    <border>
      <left style="thick">
        <color theme="0"/>
      </left>
      <right/>
      <top/>
      <bottom style="thin">
        <color theme="0" tint="-0.24994659260841701"/>
      </bottom>
      <diagonal/>
    </border>
    <border>
      <left/>
      <right/>
      <top/>
      <bottom style="thin">
        <color theme="0" tint="-0.24994659260841701"/>
      </bottom>
      <diagonal/>
    </border>
    <border>
      <left/>
      <right style="thick">
        <color theme="0"/>
      </right>
      <top/>
      <bottom style="thin">
        <color theme="0" tint="-0.24994659260841701"/>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
    <xf numFmtId="0" fontId="0" fillId="0" borderId="0"/>
    <xf numFmtId="0" fontId="8" fillId="0" borderId="0" applyNumberFormat="0" applyFill="0" applyBorder="0" applyAlignment="0" applyProtection="0"/>
    <xf numFmtId="0" fontId="4" fillId="0" borderId="0"/>
    <xf numFmtId="37" fontId="17" fillId="0" borderId="0"/>
    <xf numFmtId="0" fontId="5" fillId="0" borderId="0"/>
    <xf numFmtId="43" fontId="17" fillId="0" borderId="0" applyFont="0" applyFill="0" applyBorder="0" applyAlignment="0" applyProtection="0"/>
    <xf numFmtId="37" fontId="18" fillId="0" borderId="0"/>
    <xf numFmtId="0" fontId="5" fillId="0" borderId="0"/>
    <xf numFmtId="43" fontId="5" fillId="0" borderId="0" applyFont="0" applyFill="0" applyBorder="0" applyAlignment="0" applyProtection="0"/>
    <xf numFmtId="0" fontId="21" fillId="0" borderId="0" applyNumberFormat="0" applyProtection="0">
      <alignment horizontal="left"/>
    </xf>
    <xf numFmtId="0" fontId="23" fillId="0" borderId="3" applyNumberFormat="0" applyProtection="0">
      <alignment horizontal="left" wrapText="1"/>
    </xf>
    <xf numFmtId="0" fontId="23" fillId="0" borderId="2" applyNumberFormat="0" applyProtection="0">
      <alignment wrapText="1"/>
    </xf>
    <xf numFmtId="0" fontId="23" fillId="0" borderId="7" applyNumberFormat="0" applyProtection="0">
      <alignment wrapText="1"/>
    </xf>
    <xf numFmtId="0" fontId="27" fillId="0" borderId="8" applyNumberFormat="0" applyFont="0" applyProtection="0">
      <alignment wrapText="1"/>
    </xf>
    <xf numFmtId="0" fontId="27" fillId="0" borderId="9" applyNumberFormat="0" applyProtection="0">
      <alignment vertical="top" wrapText="1"/>
    </xf>
    <xf numFmtId="0" fontId="31" fillId="0" borderId="0"/>
    <xf numFmtId="0" fontId="5" fillId="0" borderId="0"/>
    <xf numFmtId="0" fontId="3" fillId="0" borderId="0"/>
    <xf numFmtId="0" fontId="2" fillId="0" borderId="0"/>
  </cellStyleXfs>
  <cellXfs count="273">
    <xf numFmtId="0" fontId="0" fillId="0" borderId="0" xfId="0"/>
    <xf numFmtId="0" fontId="6" fillId="0" borderId="0" xfId="0" applyFont="1"/>
    <xf numFmtId="0" fontId="6" fillId="2" borderId="0" xfId="0" applyFont="1" applyFill="1"/>
    <xf numFmtId="0" fontId="6" fillId="0" borderId="0" xfId="0" applyFont="1" applyAlignment="1">
      <alignment horizontal="left" vertical="top"/>
    </xf>
    <xf numFmtId="0" fontId="6" fillId="0" borderId="0" xfId="0" applyFont="1" applyAlignment="1">
      <alignment horizontal="left" vertical="top" wrapText="1"/>
    </xf>
    <xf numFmtId="0" fontId="9" fillId="0" borderId="0" xfId="1" applyFont="1"/>
    <xf numFmtId="0" fontId="9" fillId="0" borderId="0" xfId="1" applyFont="1" applyAlignment="1">
      <alignment horizontal="left" vertical="top"/>
    </xf>
    <xf numFmtId="0" fontId="10" fillId="0" borderId="0" xfId="0" applyFont="1" applyAlignment="1">
      <alignment horizontal="left" vertical="top"/>
    </xf>
    <xf numFmtId="0" fontId="11" fillId="0" borderId="0" xfId="0" applyFont="1" applyAlignment="1">
      <alignment wrapText="1"/>
    </xf>
    <xf numFmtId="0" fontId="12" fillId="0" borderId="0" xfId="0" applyFont="1" applyAlignment="1">
      <alignment horizontal="left" vertical="top"/>
    </xf>
    <xf numFmtId="0" fontId="13" fillId="0" borderId="0" xfId="0" applyFont="1" applyAlignment="1">
      <alignment horizontal="left" vertical="top"/>
    </xf>
    <xf numFmtId="0" fontId="10" fillId="0" borderId="0" xfId="0" applyFont="1"/>
    <xf numFmtId="0" fontId="12" fillId="0" borderId="0" xfId="0" applyFont="1"/>
    <xf numFmtId="0" fontId="13" fillId="0" borderId="0" xfId="0" applyFont="1"/>
    <xf numFmtId="0" fontId="4" fillId="0" borderId="0" xfId="2" applyAlignment="1">
      <alignment wrapText="1"/>
    </xf>
    <xf numFmtId="0" fontId="4" fillId="0" borderId="0" xfId="2"/>
    <xf numFmtId="2" fontId="4" fillId="0" borderId="0" xfId="2" applyNumberFormat="1"/>
    <xf numFmtId="0" fontId="16" fillId="0" borderId="0" xfId="0" applyFont="1"/>
    <xf numFmtId="0" fontId="6" fillId="4" borderId="1" xfId="0" applyFont="1" applyFill="1" applyBorder="1"/>
    <xf numFmtId="2" fontId="6" fillId="4" borderId="0" xfId="0" applyNumberFormat="1" applyFont="1" applyFill="1"/>
    <xf numFmtId="0" fontId="6" fillId="4" borderId="0" xfId="0" applyFont="1" applyFill="1"/>
    <xf numFmtId="0" fontId="6" fillId="4" borderId="0" xfId="0" applyFont="1" applyFill="1" applyAlignment="1">
      <alignment horizontal="left" vertical="top"/>
    </xf>
    <xf numFmtId="0" fontId="6" fillId="0" borderId="0" xfId="0" applyFont="1" applyAlignment="1">
      <alignment wrapText="1"/>
    </xf>
    <xf numFmtId="0" fontId="6" fillId="3" borderId="0" xfId="0" applyFont="1" applyFill="1" applyAlignment="1">
      <alignment horizontal="left" vertical="top" wrapText="1"/>
    </xf>
    <xf numFmtId="0" fontId="20" fillId="0" borderId="0" xfId="0" applyFont="1" applyAlignment="1">
      <alignment wrapText="1"/>
    </xf>
    <xf numFmtId="0" fontId="22" fillId="0" borderId="0" xfId="9" applyFont="1" applyAlignment="1">
      <alignment horizontal="left" wrapText="1"/>
    </xf>
    <xf numFmtId="3" fontId="24" fillId="0" borderId="3" xfId="10" applyNumberFormat="1" applyFont="1">
      <alignment horizontal="left" wrapText="1"/>
    </xf>
    <xf numFmtId="0" fontId="26" fillId="0" borderId="0" xfId="0" applyFont="1"/>
    <xf numFmtId="0" fontId="24" fillId="0" borderId="2" xfId="11" applyFont="1">
      <alignment wrapText="1"/>
    </xf>
    <xf numFmtId="3" fontId="24" fillId="0" borderId="2" xfId="11" applyNumberFormat="1" applyFont="1" applyAlignment="1">
      <alignment horizontal="right" wrapText="1"/>
    </xf>
    <xf numFmtId="0" fontId="24" fillId="0" borderId="7" xfId="12" applyFont="1">
      <alignment wrapText="1"/>
    </xf>
    <xf numFmtId="165" fontId="26" fillId="0" borderId="7" xfId="12" applyNumberFormat="1" applyFont="1">
      <alignment wrapText="1"/>
    </xf>
    <xf numFmtId="166" fontId="26" fillId="0" borderId="7" xfId="12" applyNumberFormat="1" applyFont="1">
      <alignment wrapText="1"/>
    </xf>
    <xf numFmtId="165" fontId="24" fillId="0" borderId="7" xfId="8" applyNumberFormat="1" applyFont="1" applyBorder="1" applyAlignment="1">
      <alignment horizontal="right" wrapText="1"/>
    </xf>
    <xf numFmtId="166" fontId="24" fillId="0" borderId="7" xfId="8" applyNumberFormat="1" applyFont="1" applyBorder="1" applyAlignment="1">
      <alignment horizontal="right" wrapText="1"/>
    </xf>
    <xf numFmtId="0" fontId="26" fillId="0" borderId="8" xfId="13" applyFont="1" applyAlignment="1">
      <alignment horizontal="left" wrapText="1"/>
    </xf>
    <xf numFmtId="165" fontId="26" fillId="0" borderId="8" xfId="8" applyNumberFormat="1" applyFont="1" applyBorder="1" applyAlignment="1">
      <alignment horizontal="right" wrapText="1"/>
    </xf>
    <xf numFmtId="166" fontId="26" fillId="0" borderId="8" xfId="8" applyNumberFormat="1" applyFont="1" applyBorder="1" applyAlignment="1">
      <alignment horizontal="right" wrapText="1"/>
    </xf>
    <xf numFmtId="0" fontId="26" fillId="0" borderId="8" xfId="13" applyFont="1">
      <alignment wrapText="1"/>
    </xf>
    <xf numFmtId="0" fontId="26" fillId="0" borderId="8" xfId="13" applyFont="1" applyAlignment="1">
      <alignment horizontal="left" wrapText="1" indent="1"/>
    </xf>
    <xf numFmtId="0" fontId="0" fillId="0" borderId="0" xfId="0" applyAlignment="1">
      <alignment horizontal="left" indent="1"/>
    </xf>
    <xf numFmtId="0" fontId="24" fillId="0" borderId="7" xfId="12" applyFont="1" applyAlignment="1">
      <alignment horizontal="left" wrapText="1"/>
    </xf>
    <xf numFmtId="3" fontId="26" fillId="0" borderId="0" xfId="0" applyNumberFormat="1" applyFont="1" applyAlignment="1">
      <alignment horizontal="right"/>
    </xf>
    <xf numFmtId="0" fontId="8" fillId="0" borderId="0" xfId="1"/>
    <xf numFmtId="0" fontId="31" fillId="0" borderId="0" xfId="15"/>
    <xf numFmtId="0" fontId="34" fillId="0" borderId="11" xfId="15" applyFont="1" applyBorder="1" applyAlignment="1">
      <alignment horizontal="center"/>
    </xf>
    <xf numFmtId="167" fontId="34" fillId="0" borderId="11" xfId="15" applyNumberFormat="1" applyFont="1" applyBorder="1" applyAlignment="1">
      <alignment horizontal="center"/>
    </xf>
    <xf numFmtId="168" fontId="34" fillId="0" borderId="11" xfId="15" applyNumberFormat="1" applyFont="1" applyBorder="1" applyAlignment="1">
      <alignment horizontal="center"/>
    </xf>
    <xf numFmtId="0" fontId="35" fillId="0" borderId="0" xfId="15" applyFont="1"/>
    <xf numFmtId="2" fontId="34" fillId="0" borderId="0" xfId="15" applyNumberFormat="1" applyFont="1"/>
    <xf numFmtId="2" fontId="35" fillId="0" borderId="0" xfId="15" applyNumberFormat="1" applyFont="1"/>
    <xf numFmtId="2" fontId="34" fillId="0" borderId="0" xfId="15" applyNumberFormat="1" applyFont="1" applyAlignment="1">
      <alignment horizontal="left" indent="1"/>
    </xf>
    <xf numFmtId="0" fontId="35" fillId="0" borderId="0" xfId="15" applyFont="1" applyAlignment="1">
      <alignment horizontal="left" indent="2"/>
    </xf>
    <xf numFmtId="164" fontId="35" fillId="0" borderId="0" xfId="15" applyNumberFormat="1" applyFont="1"/>
    <xf numFmtId="0" fontId="36" fillId="0" borderId="0" xfId="15" applyFont="1"/>
    <xf numFmtId="0" fontId="37" fillId="0" borderId="0" xfId="15" applyFont="1"/>
    <xf numFmtId="0" fontId="34" fillId="0" borderId="0" xfId="15" applyFont="1"/>
    <xf numFmtId="2" fontId="34" fillId="0" borderId="0" xfId="15" applyNumberFormat="1" applyFont="1" applyAlignment="1">
      <alignment wrapText="1"/>
    </xf>
    <xf numFmtId="0" fontId="35" fillId="0" borderId="0" xfId="15" applyFont="1" applyAlignment="1">
      <alignment horizontal="left" indent="1"/>
    </xf>
    <xf numFmtId="0" fontId="35" fillId="0" borderId="10" xfId="15" applyFont="1" applyBorder="1" applyAlignment="1">
      <alignment horizontal="left" indent="1"/>
    </xf>
    <xf numFmtId="164" fontId="35" fillId="0" borderId="10" xfId="15" applyNumberFormat="1" applyFont="1" applyBorder="1"/>
    <xf numFmtId="0" fontId="39" fillId="0" borderId="0" xfId="15" applyFont="1"/>
    <xf numFmtId="0" fontId="32" fillId="0" borderId="10" xfId="15" applyFont="1" applyBorder="1" applyAlignment="1">
      <alignment horizontal="left" wrapText="1"/>
    </xf>
    <xf numFmtId="165" fontId="26" fillId="2" borderId="8" xfId="8" applyNumberFormat="1" applyFont="1" applyFill="1" applyBorder="1" applyAlignment="1">
      <alignment horizontal="right" wrapText="1"/>
    </xf>
    <xf numFmtId="0" fontId="40" fillId="0" borderId="0" xfId="0" applyFont="1"/>
    <xf numFmtId="0" fontId="31" fillId="3" borderId="0" xfId="15" applyFill="1"/>
    <xf numFmtId="3" fontId="6" fillId="0" borderId="0" xfId="0" applyNumberFormat="1" applyFont="1"/>
    <xf numFmtId="0" fontId="6" fillId="5" borderId="0" xfId="0" applyFont="1" applyFill="1"/>
    <xf numFmtId="0" fontId="9" fillId="0" borderId="0" xfId="1" applyFont="1" applyFill="1"/>
    <xf numFmtId="2" fontId="6" fillId="6" borderId="0" xfId="0" applyNumberFormat="1" applyFont="1" applyFill="1"/>
    <xf numFmtId="0" fontId="50" fillId="8" borderId="17" xfId="0" applyFont="1" applyFill="1" applyBorder="1" applyAlignment="1">
      <alignment horizontal="centerContinuous"/>
    </xf>
    <xf numFmtId="0" fontId="50" fillId="8" borderId="18" xfId="0" applyFont="1" applyFill="1" applyBorder="1" applyAlignment="1">
      <alignment horizontal="centerContinuous"/>
    </xf>
    <xf numFmtId="0" fontId="50" fillId="8" borderId="19" xfId="0" applyFont="1" applyFill="1" applyBorder="1" applyAlignment="1">
      <alignment horizontal="centerContinuous"/>
    </xf>
    <xf numFmtId="0" fontId="50" fillId="9" borderId="20" xfId="0" applyFont="1" applyFill="1" applyBorder="1" applyAlignment="1">
      <alignment horizontal="centerContinuous"/>
    </xf>
    <xf numFmtId="0" fontId="50" fillId="9" borderId="13" xfId="0" applyFont="1" applyFill="1" applyBorder="1" applyAlignment="1">
      <alignment horizontal="centerContinuous"/>
    </xf>
    <xf numFmtId="0" fontId="50" fillId="9" borderId="21" xfId="0" applyFont="1" applyFill="1" applyBorder="1" applyAlignment="1">
      <alignment horizontal="centerContinuous"/>
    </xf>
    <xf numFmtId="0" fontId="51" fillId="10" borderId="22" xfId="0" applyFont="1" applyFill="1" applyBorder="1" applyAlignment="1">
      <alignment horizontal="center"/>
    </xf>
    <xf numFmtId="0" fontId="51" fillId="10" borderId="23" xfId="0" applyFont="1" applyFill="1" applyBorder="1" applyAlignment="1">
      <alignment horizontal="center"/>
    </xf>
    <xf numFmtId="0" fontId="51" fillId="10" borderId="24" xfId="0" applyFont="1" applyFill="1" applyBorder="1" applyAlignment="1">
      <alignment horizontal="center"/>
    </xf>
    <xf numFmtId="0" fontId="51" fillId="0" borderId="25" xfId="0" applyFont="1" applyBorder="1" applyAlignment="1">
      <alignment vertical="center"/>
    </xf>
    <xf numFmtId="0" fontId="51" fillId="0" borderId="15" xfId="0" applyFont="1" applyBorder="1" applyAlignment="1">
      <alignment vertical="center"/>
    </xf>
    <xf numFmtId="0" fontId="51" fillId="0" borderId="26" xfId="0" applyFont="1" applyBorder="1" applyAlignment="1">
      <alignment vertical="center"/>
    </xf>
    <xf numFmtId="0" fontId="51" fillId="0" borderId="20" xfId="0" applyFont="1" applyBorder="1" applyAlignment="1">
      <alignment vertical="center"/>
    </xf>
    <xf numFmtId="0" fontId="51" fillId="0" borderId="13" xfId="0" applyFont="1" applyBorder="1" applyAlignment="1">
      <alignment vertical="center"/>
    </xf>
    <xf numFmtId="0" fontId="51" fillId="0" borderId="21"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2" fillId="0" borderId="30" xfId="0" applyFont="1" applyBorder="1" applyAlignment="1">
      <alignment vertical="top"/>
    </xf>
    <xf numFmtId="0" fontId="52" fillId="0" borderId="12" xfId="0" applyFont="1" applyBorder="1" applyAlignment="1">
      <alignment vertical="top"/>
    </xf>
    <xf numFmtId="0" fontId="52" fillId="0" borderId="31" xfId="0" applyFont="1" applyBorder="1" applyAlignment="1">
      <alignment vertical="top"/>
    </xf>
    <xf numFmtId="0" fontId="52" fillId="0" borderId="32" xfId="0" applyFont="1" applyBorder="1" applyAlignment="1">
      <alignment vertical="top"/>
    </xf>
    <xf numFmtId="0" fontId="52" fillId="0" borderId="0" xfId="0" applyFont="1" applyAlignment="1">
      <alignment vertical="top"/>
    </xf>
    <xf numFmtId="0" fontId="52" fillId="0" borderId="33" xfId="0" applyFont="1" applyBorder="1" applyAlignment="1">
      <alignment vertical="top"/>
    </xf>
    <xf numFmtId="0" fontId="52" fillId="0" borderId="34" xfId="0" applyFont="1" applyBorder="1" applyAlignment="1">
      <alignment vertical="top"/>
    </xf>
    <xf numFmtId="0" fontId="52" fillId="0" borderId="10" xfId="0" applyFont="1" applyBorder="1" applyAlignment="1">
      <alignment vertical="top"/>
    </xf>
    <xf numFmtId="0" fontId="52" fillId="0" borderId="35" xfId="0" applyFont="1" applyBorder="1" applyAlignment="1">
      <alignment vertical="top"/>
    </xf>
    <xf numFmtId="0" fontId="55" fillId="0" borderId="13" xfId="0" applyFont="1" applyBorder="1" applyAlignment="1">
      <alignment horizontal="center" vertical="center" wrapText="1"/>
    </xf>
    <xf numFmtId="1" fontId="58" fillId="12" borderId="16" xfId="0" applyNumberFormat="1" applyFont="1" applyFill="1" applyBorder="1" applyAlignment="1">
      <alignment horizontal="right" vertical="center" wrapText="1"/>
    </xf>
    <xf numFmtId="1" fontId="58" fillId="0" borderId="16" xfId="0" applyNumberFormat="1" applyFont="1" applyBorder="1"/>
    <xf numFmtId="0" fontId="10" fillId="4" borderId="0" xfId="0" applyFont="1" applyFill="1"/>
    <xf numFmtId="0" fontId="6" fillId="17" borderId="0" xfId="0" applyFont="1" applyFill="1"/>
    <xf numFmtId="0" fontId="63" fillId="0" borderId="0" xfId="0" applyFont="1"/>
    <xf numFmtId="0" fontId="7" fillId="0" borderId="0" xfId="0" applyFont="1" applyAlignment="1">
      <alignment horizontal="left" vertical="top"/>
    </xf>
    <xf numFmtId="43" fontId="6" fillId="4" borderId="0" xfId="0" applyNumberFormat="1" applyFont="1" applyFill="1"/>
    <xf numFmtId="166" fontId="6" fillId="4" borderId="0" xfId="0" applyNumberFormat="1" applyFont="1" applyFill="1"/>
    <xf numFmtId="166" fontId="6" fillId="4" borderId="1" xfId="0" applyNumberFormat="1" applyFont="1" applyFill="1" applyBorder="1"/>
    <xf numFmtId="166" fontId="10" fillId="4" borderId="1" xfId="0" applyNumberFormat="1" applyFont="1" applyFill="1" applyBorder="1"/>
    <xf numFmtId="0" fontId="10" fillId="0" borderId="0" xfId="0" applyFont="1" applyAlignment="1">
      <alignment wrapText="1"/>
    </xf>
    <xf numFmtId="0" fontId="64" fillId="0" borderId="0" xfId="1" applyFont="1"/>
    <xf numFmtId="0" fontId="6" fillId="6" borderId="0" xfId="0" applyFont="1" applyFill="1"/>
    <xf numFmtId="0" fontId="6" fillId="14" borderId="0" xfId="0" applyFont="1" applyFill="1"/>
    <xf numFmtId="0" fontId="65" fillId="14" borderId="0" xfId="0" applyFont="1" applyFill="1"/>
    <xf numFmtId="0" fontId="6" fillId="5" borderId="0" xfId="0" applyFont="1" applyFill="1" applyAlignment="1">
      <alignment wrapText="1"/>
    </xf>
    <xf numFmtId="166" fontId="10" fillId="3" borderId="0" xfId="8" applyNumberFormat="1" applyFont="1" applyFill="1"/>
    <xf numFmtId="166" fontId="10" fillId="4" borderId="1" xfId="8" applyNumberFormat="1" applyFont="1" applyFill="1" applyBorder="1"/>
    <xf numFmtId="166" fontId="6" fillId="6" borderId="0" xfId="8" applyNumberFormat="1" applyFont="1" applyFill="1"/>
    <xf numFmtId="166" fontId="6" fillId="4" borderId="0" xfId="8" applyNumberFormat="1" applyFont="1" applyFill="1"/>
    <xf numFmtId="43" fontId="6" fillId="17" borderId="0" xfId="0" applyNumberFormat="1" applyFont="1" applyFill="1"/>
    <xf numFmtId="0" fontId="3" fillId="0" borderId="0" xfId="17"/>
    <xf numFmtId="0" fontId="3" fillId="13" borderId="0" xfId="17" applyFill="1"/>
    <xf numFmtId="0" fontId="48" fillId="0" borderId="0" xfId="17" applyFont="1"/>
    <xf numFmtId="0" fontId="10" fillId="0" borderId="0" xfId="0" applyFont="1" applyAlignment="1">
      <alignment horizontal="left" vertical="top" wrapText="1"/>
    </xf>
    <xf numFmtId="0" fontId="6" fillId="0" borderId="36" xfId="0" applyFont="1" applyBorder="1" applyAlignment="1">
      <alignment horizontal="left" vertical="top" wrapText="1"/>
    </xf>
    <xf numFmtId="39" fontId="6" fillId="4" borderId="0" xfId="0" applyNumberFormat="1" applyFont="1" applyFill="1"/>
    <xf numFmtId="37" fontId="6" fillId="4" borderId="0" xfId="0" applyNumberFormat="1" applyFont="1" applyFill="1"/>
    <xf numFmtId="166" fontId="64" fillId="3" borderId="0" xfId="1" applyNumberFormat="1" applyFont="1" applyFill="1"/>
    <xf numFmtId="171" fontId="6" fillId="3" borderId="0" xfId="0" applyNumberFormat="1" applyFont="1" applyFill="1"/>
    <xf numFmtId="0" fontId="4" fillId="7" borderId="0" xfId="2" applyFill="1"/>
    <xf numFmtId="0" fontId="46" fillId="0" borderId="0" xfId="2" applyFont="1" applyAlignment="1">
      <alignment wrapText="1"/>
    </xf>
    <xf numFmtId="169" fontId="41" fillId="0" borderId="0" xfId="0" applyNumberFormat="1" applyFont="1" applyAlignment="1">
      <alignment horizontal="right"/>
    </xf>
    <xf numFmtId="169" fontId="42" fillId="0" borderId="0" xfId="0" applyNumberFormat="1" applyFont="1" applyAlignment="1">
      <alignment horizontal="right"/>
    </xf>
    <xf numFmtId="169" fontId="45" fillId="0" borderId="0" xfId="0" applyNumberFormat="1" applyFont="1" applyAlignment="1">
      <alignment horizontal="right"/>
    </xf>
    <xf numFmtId="170" fontId="44" fillId="0" borderId="0" xfId="0" applyNumberFormat="1" applyFont="1"/>
    <xf numFmtId="170" fontId="42" fillId="0" borderId="0" xfId="0" applyNumberFormat="1" applyFont="1" applyAlignment="1">
      <alignment horizontal="right"/>
    </xf>
    <xf numFmtId="170" fontId="44" fillId="0" borderId="0" xfId="0" applyNumberFormat="1" applyFont="1" applyAlignment="1">
      <alignment horizontal="right" vertical="center"/>
    </xf>
    <xf numFmtId="2" fontId="47" fillId="0" borderId="0" xfId="2" applyNumberFormat="1" applyFont="1"/>
    <xf numFmtId="2" fontId="49" fillId="0" borderId="0" xfId="2" applyNumberFormat="1" applyFont="1"/>
    <xf numFmtId="2" fontId="67" fillId="0" borderId="0" xfId="2" applyNumberFormat="1" applyFont="1"/>
    <xf numFmtId="1" fontId="67" fillId="0" borderId="0" xfId="2" applyNumberFormat="1" applyFont="1"/>
    <xf numFmtId="0" fontId="57" fillId="0" borderId="0" xfId="2" applyFont="1"/>
    <xf numFmtId="0" fontId="57" fillId="16" borderId="0" xfId="2" applyFont="1" applyFill="1"/>
    <xf numFmtId="0" fontId="59" fillId="0" borderId="0" xfId="2" applyFont="1" applyAlignment="1">
      <alignment wrapText="1"/>
    </xf>
    <xf numFmtId="0" fontId="47" fillId="0" borderId="0" xfId="2" applyFont="1"/>
    <xf numFmtId="172" fontId="4" fillId="0" borderId="0" xfId="2" applyNumberFormat="1"/>
    <xf numFmtId="0" fontId="49" fillId="14" borderId="0" xfId="2" applyFont="1" applyFill="1"/>
    <xf numFmtId="0" fontId="49" fillId="0" borderId="0" xfId="2" applyFont="1"/>
    <xf numFmtId="0" fontId="48" fillId="0" borderId="0" xfId="2" applyFont="1"/>
    <xf numFmtId="0" fontId="8" fillId="0" borderId="0" xfId="1" applyBorder="1"/>
    <xf numFmtId="0" fontId="0" fillId="15" borderId="0" xfId="0" applyFill="1"/>
    <xf numFmtId="164" fontId="4" fillId="0" borderId="0" xfId="2" applyNumberFormat="1"/>
    <xf numFmtId="0" fontId="8" fillId="0" borderId="36" xfId="1" applyFill="1" applyBorder="1" applyAlignment="1">
      <alignment horizontal="left" vertical="top" wrapText="1"/>
    </xf>
    <xf numFmtId="2" fontId="6" fillId="0" borderId="0" xfId="0" applyNumberFormat="1" applyFont="1"/>
    <xf numFmtId="2" fontId="6" fillId="3" borderId="0" xfId="0" applyNumberFormat="1" applyFont="1" applyFill="1"/>
    <xf numFmtId="43" fontId="6" fillId="3" borderId="1" xfId="0" applyNumberFormat="1" applyFont="1" applyFill="1" applyBorder="1"/>
    <xf numFmtId="166" fontId="10" fillId="3" borderId="1" xfId="0" applyNumberFormat="1" applyFont="1" applyFill="1" applyBorder="1"/>
    <xf numFmtId="43" fontId="6" fillId="3" borderId="0" xfId="0" applyNumberFormat="1" applyFont="1" applyFill="1"/>
    <xf numFmtId="0" fontId="70" fillId="0" borderId="0" xfId="0" applyFont="1"/>
    <xf numFmtId="0" fontId="0" fillId="3" borderId="0" xfId="0" applyFill="1"/>
    <xf numFmtId="165" fontId="6" fillId="0" borderId="0" xfId="0" applyNumberFormat="1" applyFont="1"/>
    <xf numFmtId="165" fontId="6" fillId="3" borderId="0" xfId="0" applyNumberFormat="1" applyFont="1" applyFill="1"/>
    <xf numFmtId="1" fontId="6" fillId="0" borderId="0" xfId="0" applyNumberFormat="1" applyFont="1"/>
    <xf numFmtId="0" fontId="71" fillId="0" borderId="0" xfId="0" applyFont="1"/>
    <xf numFmtId="0" fontId="58" fillId="0" borderId="0" xfId="0" applyFont="1"/>
    <xf numFmtId="0" fontId="10" fillId="3" borderId="0" xfId="0" applyFont="1" applyFill="1"/>
    <xf numFmtId="0" fontId="48" fillId="16" borderId="0" xfId="2" applyFont="1" applyFill="1" applyAlignment="1">
      <alignment wrapText="1"/>
    </xf>
    <xf numFmtId="0" fontId="2" fillId="0" borderId="0" xfId="18" applyAlignment="1">
      <alignment wrapText="1"/>
    </xf>
    <xf numFmtId="0" fontId="2" fillId="0" borderId="0" xfId="18" applyAlignment="1">
      <alignment horizontal="left" wrapText="1"/>
    </xf>
    <xf numFmtId="2" fontId="2" fillId="0" borderId="0" xfId="18" applyNumberFormat="1" applyAlignment="1">
      <alignment wrapText="1"/>
    </xf>
    <xf numFmtId="0" fontId="2" fillId="0" borderId="0" xfId="18"/>
    <xf numFmtId="2" fontId="2" fillId="0" borderId="0" xfId="18" applyNumberFormat="1"/>
    <xf numFmtId="0" fontId="73" fillId="0" borderId="0" xfId="0" applyFont="1" applyAlignment="1">
      <alignment wrapText="1"/>
    </xf>
    <xf numFmtId="0" fontId="16" fillId="0" borderId="0" xfId="0" applyFont="1" applyAlignment="1">
      <alignment wrapText="1"/>
    </xf>
    <xf numFmtId="0" fontId="73" fillId="16" borderId="0" xfId="0" applyFont="1" applyFill="1" applyAlignment="1">
      <alignment wrapText="1"/>
    </xf>
    <xf numFmtId="0" fontId="6" fillId="16" borderId="0" xfId="0" applyFont="1" applyFill="1" applyAlignment="1">
      <alignment wrapText="1"/>
    </xf>
    <xf numFmtId="0" fontId="6" fillId="3" borderId="0" xfId="0" applyFont="1" applyFill="1" applyAlignment="1">
      <alignment wrapText="1"/>
    </xf>
    <xf numFmtId="0" fontId="73" fillId="4" borderId="0" xfId="0" applyFont="1" applyFill="1" applyAlignment="1">
      <alignment wrapText="1"/>
    </xf>
    <xf numFmtId="0" fontId="6" fillId="4" borderId="0" xfId="0" applyFont="1" applyFill="1" applyAlignment="1">
      <alignment horizontal="left" vertical="top" wrapText="1"/>
    </xf>
    <xf numFmtId="0" fontId="6" fillId="3" borderId="36" xfId="0" applyFont="1" applyFill="1" applyBorder="1" applyAlignment="1">
      <alignment horizontal="left" vertical="top" wrapText="1"/>
    </xf>
    <xf numFmtId="0" fontId="6" fillId="3" borderId="36" xfId="0" applyFont="1" applyFill="1" applyBorder="1" applyAlignment="1">
      <alignment horizontal="left" vertical="top"/>
    </xf>
    <xf numFmtId="0" fontId="73" fillId="19" borderId="0" xfId="0" applyFont="1" applyFill="1"/>
    <xf numFmtId="0" fontId="6" fillId="19" borderId="0" xfId="0" applyFont="1" applyFill="1" applyAlignment="1">
      <alignment wrapText="1"/>
    </xf>
    <xf numFmtId="0" fontId="12" fillId="0" borderId="37" xfId="0" applyFont="1" applyBorder="1"/>
    <xf numFmtId="0" fontId="6" fillId="4" borderId="38" xfId="0" applyFont="1" applyFill="1" applyBorder="1"/>
    <xf numFmtId="0" fontId="6" fillId="3" borderId="39" xfId="0" applyFont="1" applyFill="1" applyBorder="1"/>
    <xf numFmtId="0" fontId="6" fillId="20" borderId="0" xfId="0" applyFont="1" applyFill="1" applyAlignment="1">
      <alignment horizontal="left" vertical="top"/>
    </xf>
    <xf numFmtId="0" fontId="6" fillId="20" borderId="36" xfId="0" applyFont="1" applyFill="1" applyBorder="1" applyAlignment="1">
      <alignment horizontal="left" vertical="top" wrapText="1"/>
    </xf>
    <xf numFmtId="0" fontId="6" fillId="20" borderId="36" xfId="0" applyFont="1" applyFill="1" applyBorder="1" applyAlignment="1">
      <alignment horizontal="left" vertical="top"/>
    </xf>
    <xf numFmtId="0" fontId="6" fillId="20" borderId="38" xfId="0" applyFont="1" applyFill="1" applyBorder="1" applyAlignment="1">
      <alignment wrapText="1"/>
    </xf>
    <xf numFmtId="166" fontId="6" fillId="20" borderId="0" xfId="0" applyNumberFormat="1" applyFont="1" applyFill="1"/>
    <xf numFmtId="2" fontId="6" fillId="20" borderId="0" xfId="0" applyNumberFormat="1" applyFont="1" applyFill="1"/>
    <xf numFmtId="0" fontId="6" fillId="16" borderId="0" xfId="0" applyFont="1" applyFill="1" applyAlignment="1">
      <alignment horizontal="left" vertical="top"/>
    </xf>
    <xf numFmtId="0" fontId="12" fillId="0" borderId="37" xfId="0" applyFont="1" applyBorder="1" applyAlignment="1">
      <alignment wrapText="1"/>
    </xf>
    <xf numFmtId="0" fontId="6" fillId="4" borderId="38" xfId="0" applyFont="1" applyFill="1" applyBorder="1" applyAlignment="1">
      <alignment wrapText="1"/>
    </xf>
    <xf numFmtId="0" fontId="6" fillId="3" borderId="39" xfId="0" applyFont="1" applyFill="1" applyBorder="1" applyAlignment="1">
      <alignment wrapText="1"/>
    </xf>
    <xf numFmtId="0" fontId="12" fillId="0" borderId="0" xfId="0" applyFont="1" applyAlignment="1">
      <alignment horizontal="left" vertical="top" wrapText="1"/>
    </xf>
    <xf numFmtId="0" fontId="9" fillId="0" borderId="0" xfId="1" applyFont="1" applyAlignment="1">
      <alignment wrapText="1"/>
    </xf>
    <xf numFmtId="0" fontId="6" fillId="0" borderId="0" xfId="0" applyFont="1" applyAlignment="1">
      <alignment horizontal="left" vertical="center" wrapText="1"/>
    </xf>
    <xf numFmtId="1" fontId="6" fillId="0" borderId="0" xfId="0" applyNumberFormat="1" applyFont="1" applyAlignment="1">
      <alignment wrapText="1"/>
    </xf>
    <xf numFmtId="0" fontId="6" fillId="9" borderId="0" xfId="0" applyFont="1" applyFill="1"/>
    <xf numFmtId="0" fontId="6" fillId="13" borderId="0" xfId="0" applyFont="1" applyFill="1"/>
    <xf numFmtId="0" fontId="10" fillId="0" borderId="0" xfId="0" applyFont="1" applyAlignment="1">
      <alignment vertical="center"/>
    </xf>
    <xf numFmtId="0" fontId="10" fillId="18" borderId="0" xfId="0" applyFont="1" applyFill="1"/>
    <xf numFmtId="0" fontId="6" fillId="18" borderId="0" xfId="0" applyFont="1" applyFill="1"/>
    <xf numFmtId="43" fontId="6" fillId="0" borderId="0" xfId="0" applyNumberFormat="1" applyFont="1"/>
    <xf numFmtId="173" fontId="6" fillId="0" borderId="0" xfId="0" applyNumberFormat="1" applyFont="1"/>
    <xf numFmtId="166" fontId="6" fillId="0" borderId="0" xfId="8" applyNumberFormat="1" applyFont="1"/>
    <xf numFmtId="174" fontId="6" fillId="0" borderId="0" xfId="0" applyNumberFormat="1" applyFont="1"/>
    <xf numFmtId="0" fontId="6" fillId="20" borderId="0" xfId="0" applyFont="1" applyFill="1" applyAlignment="1">
      <alignment horizontal="left" vertical="top" wrapText="1"/>
    </xf>
    <xf numFmtId="0" fontId="70" fillId="3" borderId="0" xfId="0" applyFont="1" applyFill="1"/>
    <xf numFmtId="0" fontId="73" fillId="21" borderId="0" xfId="0" applyFont="1" applyFill="1" applyAlignment="1">
      <alignment wrapText="1"/>
    </xf>
    <xf numFmtId="0" fontId="31" fillId="22" borderId="0" xfId="15" applyFill="1"/>
    <xf numFmtId="0" fontId="31" fillId="20" borderId="0" xfId="15" applyFill="1"/>
    <xf numFmtId="0" fontId="77" fillId="23" borderId="0" xfId="0" applyFont="1" applyFill="1" applyAlignment="1">
      <alignment horizontal="left" vertical="center"/>
    </xf>
    <xf numFmtId="1" fontId="54" fillId="23" borderId="0" xfId="0" applyNumberFormat="1" applyFont="1" applyFill="1" applyAlignment="1">
      <alignment horizontal="center" vertical="center" shrinkToFit="1"/>
    </xf>
    <xf numFmtId="0" fontId="77" fillId="23" borderId="0" xfId="0" applyFont="1" applyFill="1" applyAlignment="1">
      <alignment vertical="center"/>
    </xf>
    <xf numFmtId="0" fontId="0" fillId="0" borderId="0" xfId="0" applyAlignment="1">
      <alignment horizontal="left" vertical="top"/>
    </xf>
    <xf numFmtId="0" fontId="56" fillId="17" borderId="0" xfId="0" applyFont="1" applyFill="1" applyAlignment="1">
      <alignment horizontal="left" vertical="center"/>
    </xf>
    <xf numFmtId="171" fontId="55" fillId="17" borderId="0" xfId="0" applyNumberFormat="1" applyFont="1" applyFill="1" applyAlignment="1">
      <alignment horizontal="left" vertical="center" shrinkToFit="1"/>
    </xf>
    <xf numFmtId="171" fontId="78" fillId="17" borderId="0" xfId="0" applyNumberFormat="1" applyFont="1" applyFill="1" applyAlignment="1">
      <alignment horizontal="left" vertical="center" shrinkToFit="1"/>
    </xf>
    <xf numFmtId="171" fontId="78" fillId="0" borderId="0" xfId="0" applyNumberFormat="1" applyFont="1" applyAlignment="1">
      <alignment horizontal="left" vertical="center" shrinkToFit="1"/>
    </xf>
    <xf numFmtId="0" fontId="56" fillId="0" borderId="0" xfId="0" applyFont="1" applyAlignment="1">
      <alignment horizontal="left" vertical="center"/>
    </xf>
    <xf numFmtId="171" fontId="55" fillId="0" borderId="0" xfId="0" applyNumberFormat="1" applyFont="1" applyAlignment="1">
      <alignment horizontal="left" vertical="center" shrinkToFit="1"/>
    </xf>
    <xf numFmtId="0" fontId="55" fillId="0" borderId="0" xfId="0" applyFont="1" applyAlignment="1">
      <alignment horizontal="left" vertical="center"/>
    </xf>
    <xf numFmtId="1" fontId="78" fillId="0" borderId="0" xfId="0" applyNumberFormat="1" applyFont="1" applyAlignment="1">
      <alignment horizontal="left" vertical="center" shrinkToFit="1"/>
    </xf>
    <xf numFmtId="1" fontId="78" fillId="17" borderId="0" xfId="0" applyNumberFormat="1" applyFont="1" applyFill="1" applyAlignment="1">
      <alignment horizontal="left" vertical="center" shrinkToFit="1"/>
    </xf>
    <xf numFmtId="171" fontId="6" fillId="0" borderId="0" xfId="0" applyNumberFormat="1" applyFont="1"/>
    <xf numFmtId="0" fontId="6" fillId="19" borderId="0" xfId="0" applyFont="1" applyFill="1"/>
    <xf numFmtId="0" fontId="6" fillId="19" borderId="0" xfId="0" applyFont="1" applyFill="1" applyAlignment="1">
      <alignment horizontal="left" vertical="top"/>
    </xf>
    <xf numFmtId="0" fontId="58" fillId="19" borderId="0" xfId="0" applyFont="1" applyFill="1" applyAlignment="1">
      <alignment horizontal="left" vertical="center"/>
    </xf>
    <xf numFmtId="171" fontId="58" fillId="19" borderId="0" xfId="0" applyNumberFormat="1" applyFont="1" applyFill="1" applyAlignment="1">
      <alignment horizontal="left" vertical="center" shrinkToFit="1"/>
    </xf>
    <xf numFmtId="171" fontId="81" fillId="19" borderId="0" xfId="0" applyNumberFormat="1" applyFont="1" applyFill="1" applyAlignment="1">
      <alignment horizontal="left" vertical="center" shrinkToFit="1"/>
    </xf>
    <xf numFmtId="0" fontId="58" fillId="0" borderId="0" xfId="0" applyFont="1" applyAlignment="1">
      <alignment horizontal="left" vertical="center"/>
    </xf>
    <xf numFmtId="171" fontId="58" fillId="0" borderId="0" xfId="0" applyNumberFormat="1" applyFont="1" applyAlignment="1">
      <alignment horizontal="left" vertical="center" wrapText="1" shrinkToFit="1"/>
    </xf>
    <xf numFmtId="171" fontId="58" fillId="0" borderId="0" xfId="0" applyNumberFormat="1" applyFont="1" applyAlignment="1">
      <alignment horizontal="left" vertical="center" shrinkToFit="1"/>
    </xf>
    <xf numFmtId="171" fontId="81" fillId="0" borderId="0" xfId="0" applyNumberFormat="1" applyFont="1" applyAlignment="1">
      <alignment horizontal="left" vertical="center" shrinkToFit="1"/>
    </xf>
    <xf numFmtId="0" fontId="82" fillId="0" borderId="0" xfId="0" applyFont="1"/>
    <xf numFmtId="171" fontId="83" fillId="0" borderId="0" xfId="0" applyNumberFormat="1" applyFont="1"/>
    <xf numFmtId="0" fontId="83" fillId="0" borderId="0" xfId="0" applyFont="1"/>
    <xf numFmtId="171" fontId="84" fillId="0" borderId="0" xfId="0" applyNumberFormat="1" applyFont="1"/>
    <xf numFmtId="171" fontId="85" fillId="0" borderId="0" xfId="0" applyNumberFormat="1" applyFont="1"/>
    <xf numFmtId="0" fontId="86" fillId="0" borderId="0" xfId="0" applyFont="1"/>
    <xf numFmtId="0" fontId="1" fillId="0" borderId="0" xfId="2" applyFont="1" applyAlignment="1">
      <alignment wrapText="1"/>
    </xf>
    <xf numFmtId="0" fontId="1" fillId="0" borderId="0" xfId="2" applyFont="1"/>
    <xf numFmtId="0" fontId="1" fillId="7" borderId="0" xfId="2" applyFont="1" applyFill="1"/>
    <xf numFmtId="0" fontId="1" fillId="15" borderId="0" xfId="2" applyFont="1" applyFill="1"/>
    <xf numFmtId="0" fontId="1" fillId="0" borderId="0" xfId="17" applyFont="1"/>
    <xf numFmtId="0" fontId="1" fillId="13" borderId="0" xfId="17" applyFont="1" applyFill="1"/>
    <xf numFmtId="0" fontId="54" fillId="0" borderId="0" xfId="0" applyFont="1" applyAlignment="1">
      <alignment horizontal="left" vertical="center" wrapText="1"/>
    </xf>
    <xf numFmtId="0" fontId="6" fillId="6" borderId="0" xfId="0" applyFont="1" applyFill="1" applyAlignment="1">
      <alignment horizontal="center"/>
    </xf>
    <xf numFmtId="0" fontId="77" fillId="0" borderId="0" xfId="0" applyFont="1" applyAlignment="1">
      <alignment horizontal="left" vertical="center" wrapText="1"/>
    </xf>
    <xf numFmtId="0" fontId="56" fillId="0" borderId="0" xfId="0" applyFont="1" applyAlignment="1">
      <alignment horizontal="left" vertical="center" wrapText="1"/>
    </xf>
    <xf numFmtId="0" fontId="54" fillId="11" borderId="13" xfId="0" applyFont="1" applyFill="1" applyBorder="1" applyAlignment="1">
      <alignment horizontal="center" vertical="center" wrapText="1"/>
    </xf>
    <xf numFmtId="0" fontId="54" fillId="11" borderId="28" xfId="0" applyFont="1" applyFill="1" applyBorder="1" applyAlignment="1">
      <alignment horizontal="center" vertical="center" wrapText="1"/>
    </xf>
    <xf numFmtId="0" fontId="54" fillId="11" borderId="14" xfId="0" applyFont="1" applyFill="1" applyBorder="1" applyAlignment="1">
      <alignment horizontal="center" vertical="center" wrapText="1"/>
    </xf>
    <xf numFmtId="0" fontId="54" fillId="11" borderId="15"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2" borderId="13" xfId="0" applyFont="1" applyFill="1" applyBorder="1" applyAlignment="1">
      <alignment horizontal="center" vertical="center" wrapText="1"/>
    </xf>
    <xf numFmtId="0" fontId="56" fillId="0" borderId="28" xfId="0" applyFont="1" applyBorder="1" applyAlignment="1">
      <alignment horizontal="center" vertical="center" wrapText="1"/>
    </xf>
    <xf numFmtId="0" fontId="56" fillId="0" borderId="15" xfId="0" applyFont="1" applyBorder="1" applyAlignment="1">
      <alignment horizontal="center" vertical="center" wrapText="1"/>
    </xf>
    <xf numFmtId="0" fontId="21" fillId="0" borderId="0" xfId="9" applyAlignment="1">
      <alignment horizontal="left" wrapText="1"/>
    </xf>
    <xf numFmtId="0" fontId="0" fillId="0" borderId="0" xfId="0" applyAlignment="1">
      <alignment wrapText="1"/>
    </xf>
    <xf numFmtId="3" fontId="24" fillId="0" borderId="4" xfId="10" applyNumberFormat="1" applyFont="1" applyBorder="1">
      <alignment horizontal="left" wrapText="1"/>
    </xf>
    <xf numFmtId="3" fontId="24" fillId="0" borderId="5" xfId="10" applyNumberFormat="1" applyFont="1" applyBorder="1">
      <alignment horizontal="left" wrapText="1"/>
    </xf>
    <xf numFmtId="3" fontId="24" fillId="0" borderId="6" xfId="10" applyNumberFormat="1" applyFont="1" applyBorder="1">
      <alignment horizontal="left" wrapText="1"/>
    </xf>
    <xf numFmtId="0" fontId="27" fillId="0" borderId="9" xfId="14" applyAlignment="1">
      <alignment wrapText="1"/>
    </xf>
    <xf numFmtId="49" fontId="39" fillId="0" borderId="0" xfId="15" applyNumberFormat="1" applyFont="1" applyAlignment="1">
      <alignment wrapText="1"/>
    </xf>
    <xf numFmtId="0" fontId="32" fillId="0" borderId="10" xfId="15" applyFont="1" applyBorder="1" applyAlignment="1">
      <alignment horizontal="left" wrapText="1"/>
    </xf>
    <xf numFmtId="0" fontId="38" fillId="0" borderId="12" xfId="15" applyFont="1" applyBorder="1" applyAlignment="1">
      <alignment wrapText="1"/>
    </xf>
    <xf numFmtId="0" fontId="39" fillId="0" borderId="0" xfId="15" applyFont="1" applyAlignment="1">
      <alignment wrapText="1"/>
    </xf>
    <xf numFmtId="0" fontId="38" fillId="0" borderId="0" xfId="15" applyFont="1" applyAlignment="1">
      <alignment wrapText="1"/>
    </xf>
    <xf numFmtId="0" fontId="39" fillId="0" borderId="0" xfId="15" applyFont="1"/>
    <xf numFmtId="49" fontId="38" fillId="0" borderId="0" xfId="15" applyNumberFormat="1" applyFont="1" applyAlignment="1">
      <alignment wrapText="1"/>
    </xf>
  </cellXfs>
  <cellStyles count="19">
    <cellStyle name="Body: normal cell" xfId="13" xr:uid="{132B1854-C844-4BED-87C5-25994B09AC4E}"/>
    <cellStyle name="Comma" xfId="8" builtinId="3"/>
    <cellStyle name="Comma 2" xfId="5" xr:uid="{BBD68D34-6230-4F4B-8799-E8D7E7915B82}"/>
    <cellStyle name="Footnotes: top row" xfId="14" xr:uid="{00C5F236-E3E0-4EFB-ADA2-DBB9A602426F}"/>
    <cellStyle name="Header: bottom row" xfId="11" xr:uid="{5135B609-BC50-4ED2-B791-24D31BABB017}"/>
    <cellStyle name="Header: top rows" xfId="10" xr:uid="{BD081934-A878-4517-800A-50C7F2A62F8F}"/>
    <cellStyle name="Hyperlink" xfId="1" builtinId="8"/>
    <cellStyle name="Normal" xfId="0" builtinId="0"/>
    <cellStyle name="Normal 2" xfId="2" xr:uid="{1DCDE55C-B365-40B3-8461-25EF46016C3F}"/>
    <cellStyle name="Normal 2 2" xfId="18" xr:uid="{E2770614-92B1-4B62-9496-CF99CDFA9CE3}"/>
    <cellStyle name="Normal 3" xfId="3" xr:uid="{C00F23EA-D9E9-4894-96CA-08C01D48FEAC}"/>
    <cellStyle name="Normal 3 2 4 2" xfId="4" xr:uid="{44310071-827F-4B96-BA93-5355773CA666}"/>
    <cellStyle name="Normal 4" xfId="15" xr:uid="{3FE98B78-1666-4C0F-8786-029A558C09E1}"/>
    <cellStyle name="Normal 5" xfId="6" xr:uid="{E106AEE0-5EC4-427B-9DA6-B3E9725C5C27}"/>
    <cellStyle name="Normal 6" xfId="17" xr:uid="{A62E08FE-272F-4582-9442-2A52059E3171}"/>
    <cellStyle name="Normal 7" xfId="16" xr:uid="{5DB3AF36-AE65-462C-9F4A-28F9E89D7414}"/>
    <cellStyle name="Normal 8 2" xfId="7" xr:uid="{FE23FBFB-6A6D-45CE-B134-FD9D5278B30F}"/>
    <cellStyle name="Parent row" xfId="12" xr:uid="{B3A2FDF2-8AFF-41CA-BB75-58F71EB80884}"/>
    <cellStyle name="Table title" xfId="9" xr:uid="{F5F094AF-B9C2-4C41-BA95-D13DE99AAAC6}"/>
  </cellStyles>
  <dxfs count="0"/>
  <tableStyles count="0" defaultTableStyle="TableStyleMedium2" defaultPivotStyle="PivotStyleLight16"/>
  <colors>
    <mruColors>
      <color rgb="FF6699FF"/>
      <color rgb="FFA7FFFF"/>
      <color rgb="FF66FF66"/>
      <color rgb="FFCCCCFF"/>
      <color rgb="FFFF9999"/>
      <color rgb="FFC54F2E"/>
      <color rgb="FFC44F2D"/>
      <color rgb="FF1A1D32"/>
      <color rgb="FF669947"/>
      <color rgb="FFBB8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203014171251195"/>
          <c:y val="0.11145694820651728"/>
          <c:w val="0.80217111279169195"/>
          <c:h val="0.7557880213766196"/>
        </c:manualLayout>
      </c:layout>
      <c:barChart>
        <c:barDir val="col"/>
        <c:grouping val="stacked"/>
        <c:varyColors val="0"/>
        <c:ser>
          <c:idx val="3"/>
          <c:order val="0"/>
          <c:tx>
            <c:strRef>
              <c:f>COMETFarm!$A$16</c:f>
              <c:strCache>
                <c:ptCount val="1"/>
                <c:pt idx="0">
                  <c:v>Agroforestry C storage</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cat>
            <c:strRef>
              <c:f>COMETFarm!$B$4:$E$4</c:f>
              <c:strCache>
                <c:ptCount val="4"/>
                <c:pt idx="0">
                  <c:v>Baseline </c:v>
                </c:pt>
                <c:pt idx="1">
                  <c:v>Conservation Cropping System </c:v>
                </c:pt>
                <c:pt idx="2">
                  <c:v>Alley Cropping System </c:v>
                </c:pt>
                <c:pt idx="3">
                  <c:v>Multi-practice Agroforestry </c:v>
                </c:pt>
              </c:strCache>
            </c:strRef>
          </c:cat>
          <c:val>
            <c:numRef>
              <c:f>COMETFarm!$B$16:$E$16</c:f>
              <c:numCache>
                <c:formatCode>0.0</c:formatCode>
                <c:ptCount val="4"/>
                <c:pt idx="0">
                  <c:v>0</c:v>
                </c:pt>
                <c:pt idx="1">
                  <c:v>0</c:v>
                </c:pt>
                <c:pt idx="2">
                  <c:v>-6.9</c:v>
                </c:pt>
                <c:pt idx="3">
                  <c:v>-106.99999999999999</c:v>
                </c:pt>
              </c:numCache>
            </c:numRef>
          </c:val>
          <c:extLst>
            <c:ext xmlns:c16="http://schemas.microsoft.com/office/drawing/2014/chart" uri="{C3380CC4-5D6E-409C-BE32-E72D297353CC}">
              <c16:uniqueId val="{00000000-9747-4C55-8158-09042912ACC4}"/>
            </c:ext>
          </c:extLst>
        </c:ser>
        <c:ser>
          <c:idx val="2"/>
          <c:order val="1"/>
          <c:tx>
            <c:strRef>
              <c:f>COMETFarm!$A$10</c:f>
              <c:strCache>
                <c:ptCount val="1"/>
                <c:pt idx="0">
                  <c:v>N2O emissions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COMETFarm!$B$4:$E$4</c:f>
              <c:strCache>
                <c:ptCount val="4"/>
                <c:pt idx="0">
                  <c:v>Baseline </c:v>
                </c:pt>
                <c:pt idx="1">
                  <c:v>Conservation Cropping System </c:v>
                </c:pt>
                <c:pt idx="2">
                  <c:v>Alley Cropping System </c:v>
                </c:pt>
                <c:pt idx="3">
                  <c:v>Multi-practice Agroforestry </c:v>
                </c:pt>
              </c:strCache>
            </c:strRef>
          </c:cat>
          <c:val>
            <c:numRef>
              <c:f>COMETFarm!$B$10:$E$10</c:f>
              <c:numCache>
                <c:formatCode>0.0</c:formatCode>
                <c:ptCount val="4"/>
                <c:pt idx="0">
                  <c:v>39.148632999999997</c:v>
                </c:pt>
                <c:pt idx="1">
                  <c:v>40.063560500000001</c:v>
                </c:pt>
                <c:pt idx="2">
                  <c:v>35.283535999999998</c:v>
                </c:pt>
                <c:pt idx="3">
                  <c:v>24.824103000000001</c:v>
                </c:pt>
              </c:numCache>
            </c:numRef>
          </c:val>
          <c:extLst>
            <c:ext xmlns:c16="http://schemas.microsoft.com/office/drawing/2014/chart" uri="{C3380CC4-5D6E-409C-BE32-E72D297353CC}">
              <c16:uniqueId val="{00000001-9747-4C55-8158-09042912ACC4}"/>
            </c:ext>
          </c:extLst>
        </c:ser>
        <c:ser>
          <c:idx val="1"/>
          <c:order val="2"/>
          <c:tx>
            <c:strRef>
              <c:f>COMETFarm!$A$9</c:f>
              <c:strCache>
                <c:ptCount val="1"/>
                <c:pt idx="0">
                  <c:v>Soil CO2 emissions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COMETFarm!$B$4:$E$4</c:f>
              <c:strCache>
                <c:ptCount val="4"/>
                <c:pt idx="0">
                  <c:v>Baseline </c:v>
                </c:pt>
                <c:pt idx="1">
                  <c:v>Conservation Cropping System </c:v>
                </c:pt>
                <c:pt idx="2">
                  <c:v>Alley Cropping System </c:v>
                </c:pt>
                <c:pt idx="3">
                  <c:v>Multi-practice Agroforestry </c:v>
                </c:pt>
              </c:strCache>
            </c:strRef>
          </c:cat>
          <c:val>
            <c:numRef>
              <c:f>COMETFarm!$B$9:$E$9</c:f>
              <c:numCache>
                <c:formatCode>0.0</c:formatCode>
                <c:ptCount val="4"/>
                <c:pt idx="0">
                  <c:v>-1.7337256000000001</c:v>
                </c:pt>
                <c:pt idx="1">
                  <c:v>-4.2676343000000001</c:v>
                </c:pt>
                <c:pt idx="2">
                  <c:v>-3.5886931999999998</c:v>
                </c:pt>
                <c:pt idx="3">
                  <c:v>-2.0368249999999999</c:v>
                </c:pt>
              </c:numCache>
            </c:numRef>
          </c:val>
          <c:extLst>
            <c:ext xmlns:c16="http://schemas.microsoft.com/office/drawing/2014/chart" uri="{C3380CC4-5D6E-409C-BE32-E72D297353CC}">
              <c16:uniqueId val="{00000002-9747-4C55-8158-09042912ACC4}"/>
            </c:ext>
          </c:extLst>
        </c:ser>
        <c:ser>
          <c:idx val="0"/>
          <c:order val="3"/>
          <c:tx>
            <c:v>Soil C Storage</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COMETFarm!$B$4:$E$4</c:f>
              <c:strCache>
                <c:ptCount val="4"/>
                <c:pt idx="0">
                  <c:v>Baseline </c:v>
                </c:pt>
                <c:pt idx="1">
                  <c:v>Conservation Cropping System </c:v>
                </c:pt>
                <c:pt idx="2">
                  <c:v>Alley Cropping System </c:v>
                </c:pt>
                <c:pt idx="3">
                  <c:v>Multi-practice Agroforestry </c:v>
                </c:pt>
              </c:strCache>
            </c:strRef>
          </c:cat>
          <c:val>
            <c:numLit>
              <c:formatCode>General</c:formatCode>
              <c:ptCount val="4"/>
              <c:pt idx="0">
                <c:v>24.9</c:v>
              </c:pt>
              <c:pt idx="1">
                <c:v>-60.2</c:v>
              </c:pt>
              <c:pt idx="2">
                <c:v>-56.4</c:v>
              </c:pt>
              <c:pt idx="3">
                <c:v>-48.1</c:v>
              </c:pt>
            </c:numLit>
          </c:val>
          <c:extLst>
            <c:ext xmlns:c16="http://schemas.microsoft.com/office/drawing/2014/chart" uri="{C3380CC4-5D6E-409C-BE32-E72D297353CC}">
              <c16:uniqueId val="{00000003-9747-4C55-8158-09042912ACC4}"/>
            </c:ext>
          </c:extLst>
        </c:ser>
        <c:dLbls>
          <c:showLegendKey val="0"/>
          <c:showVal val="0"/>
          <c:showCatName val="0"/>
          <c:showSerName val="0"/>
          <c:showPercent val="0"/>
          <c:showBubbleSize val="0"/>
        </c:dLbls>
        <c:gapWidth val="100"/>
        <c:overlap val="100"/>
        <c:axId val="1053730512"/>
        <c:axId val="1053722192"/>
      </c:barChart>
      <c:scatterChart>
        <c:scatterStyle val="lineMarker"/>
        <c:varyColors val="0"/>
        <c:ser>
          <c:idx val="4"/>
          <c:order val="4"/>
          <c:tx>
            <c:v>Net effect</c:v>
          </c:tx>
          <c:spPr>
            <a:ln w="25400" cap="rnd">
              <a:noFill/>
              <a:round/>
            </a:ln>
            <a:effectLst/>
          </c:spPr>
          <c:marker>
            <c:symbol val="circle"/>
            <c:size val="6"/>
            <c:spPr>
              <a:solidFill>
                <a:schemeClr val="bg1"/>
              </a:solidFill>
              <a:ln w="19050">
                <a:solidFill>
                  <a:schemeClr val="tx1"/>
                </a:solidFill>
                <a:round/>
              </a:ln>
              <a:effectLst/>
            </c:spPr>
          </c:marker>
          <c:xVal>
            <c:strRef>
              <c:f>COMETFarm!$B$4:$E$4</c:f>
              <c:strCache>
                <c:ptCount val="4"/>
                <c:pt idx="0">
                  <c:v>Baseline </c:v>
                </c:pt>
                <c:pt idx="1">
                  <c:v>Conservation Cropping System </c:v>
                </c:pt>
                <c:pt idx="2">
                  <c:v>Alley Cropping System </c:v>
                </c:pt>
                <c:pt idx="3">
                  <c:v>Multi-practice Agroforestry </c:v>
                </c:pt>
              </c:strCache>
            </c:strRef>
          </c:xVal>
          <c:yVal>
            <c:numRef>
              <c:f>COMETFarm!$B$15:$E$15</c:f>
              <c:numCache>
                <c:formatCode>0.0</c:formatCode>
                <c:ptCount val="4"/>
                <c:pt idx="0">
                  <c:v>62.354916000000003</c:v>
                </c:pt>
                <c:pt idx="1">
                  <c:v>-24.42507243156432</c:v>
                </c:pt>
                <c:pt idx="2">
                  <c:v>-24.735155820846551</c:v>
                </c:pt>
                <c:pt idx="3">
                  <c:v>-25.35471940040588</c:v>
                </c:pt>
              </c:numCache>
            </c:numRef>
          </c:yVal>
          <c:smooth val="0"/>
          <c:extLst>
            <c:ext xmlns:c16="http://schemas.microsoft.com/office/drawing/2014/chart" uri="{C3380CC4-5D6E-409C-BE32-E72D297353CC}">
              <c16:uniqueId val="{00000004-9747-4C55-8158-09042912ACC4}"/>
            </c:ext>
          </c:extLst>
        </c:ser>
        <c:dLbls>
          <c:showLegendKey val="0"/>
          <c:showVal val="0"/>
          <c:showCatName val="0"/>
          <c:showSerName val="0"/>
          <c:showPercent val="0"/>
          <c:showBubbleSize val="0"/>
        </c:dLbls>
        <c:axId val="1053730512"/>
        <c:axId val="1053722192"/>
      </c:scatterChart>
      <c:catAx>
        <c:axId val="1053730512"/>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crossAx val="1053722192"/>
        <c:crosses val="autoZero"/>
        <c:auto val="0"/>
        <c:lblAlgn val="ctr"/>
        <c:lblOffset val="100"/>
        <c:noMultiLvlLbl val="0"/>
      </c:catAx>
      <c:valAx>
        <c:axId val="1053722192"/>
        <c:scaling>
          <c:orientation val="minMax"/>
          <c:max val="75"/>
          <c:min val="-175"/>
        </c:scaling>
        <c:delete val="0"/>
        <c:axPos val="l"/>
        <c:title>
          <c:tx>
            <c:rich>
              <a:bodyPr rot="-540000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solidFill>
                      <a:schemeClr val="tx1"/>
                    </a:solidFill>
                  </a:rPr>
                  <a:t>Emissions (t CO</a:t>
                </a:r>
                <a:r>
                  <a:rPr lang="en-US" sz="1400" baseline="-25000">
                    <a:solidFill>
                      <a:schemeClr val="tx1"/>
                    </a:solidFill>
                  </a:rPr>
                  <a:t>2</a:t>
                </a:r>
                <a:r>
                  <a:rPr lang="en-US" sz="1400">
                    <a:solidFill>
                      <a:schemeClr val="tx1"/>
                    </a:solidFill>
                  </a:rPr>
                  <a:t>e</a:t>
                </a:r>
                <a:r>
                  <a:rPr lang="en-US" sz="1400" baseline="0">
                    <a:solidFill>
                      <a:schemeClr val="tx1"/>
                    </a:solidFill>
                  </a:rPr>
                  <a:t> per year</a:t>
                </a:r>
                <a:r>
                  <a:rPr lang="en-US" sz="1400">
                    <a:solidFill>
                      <a:schemeClr val="tx1"/>
                    </a:solidFill>
                  </a:rPr>
                  <a:t>)</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53730512"/>
        <c:crosses val="autoZero"/>
        <c:crossBetween val="between"/>
      </c:valAx>
      <c:spPr>
        <a:solidFill>
          <a:sysClr val="window" lastClr="FFFFFF"/>
        </a:solidFill>
        <a:ln w="6350">
          <a:solidFill>
            <a:schemeClr val="tx1"/>
          </a:solidFill>
        </a:ln>
        <a:effectLst/>
      </c:spPr>
    </c:plotArea>
    <c:legend>
      <c:legendPos val="tr"/>
      <c:layout>
        <c:manualLayout>
          <c:xMode val="edge"/>
          <c:yMode val="edge"/>
          <c:x val="0.18961578955172975"/>
          <c:y val="0.54508987934006403"/>
          <c:w val="0.21050618189440146"/>
          <c:h val="0.293187228104736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'nonCO2 EFs'!$B$3:$V$3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'nonCO2 EFs'!$B$7:$V$7</c:f>
              <c:numCache>
                <c:formatCode>0.000</c:formatCode>
                <c:ptCount val="21"/>
                <c:pt idx="0">
                  <c:v>1.9530000000000001</c:v>
                </c:pt>
                <c:pt idx="1">
                  <c:v>1.861</c:v>
                </c:pt>
                <c:pt idx="2">
                  <c:v>1.7110000000000001</c:v>
                </c:pt>
                <c:pt idx="3">
                  <c:v>1.603</c:v>
                </c:pt>
                <c:pt idx="4">
                  <c:v>1.4450000000000001</c:v>
                </c:pt>
                <c:pt idx="5">
                  <c:v>1.2969999999999999</c:v>
                </c:pt>
                <c:pt idx="6">
                  <c:v>1.1870000000000001</c:v>
                </c:pt>
                <c:pt idx="7">
                  <c:v>1.08</c:v>
                </c:pt>
                <c:pt idx="8">
                  <c:v>1.0089999999999999</c:v>
                </c:pt>
                <c:pt idx="9">
                  <c:v>0.93500000000000005</c:v>
                </c:pt>
                <c:pt idx="10">
                  <c:v>0.85099999999999998</c:v>
                </c:pt>
                <c:pt idx="11">
                  <c:v>0.755</c:v>
                </c:pt>
                <c:pt idx="12">
                  <c:v>0.59099999999999997</c:v>
                </c:pt>
                <c:pt idx="13">
                  <c:v>0.52900000000000003</c:v>
                </c:pt>
                <c:pt idx="14">
                  <c:v>0.48199999999999998</c:v>
                </c:pt>
                <c:pt idx="15">
                  <c:v>0.433</c:v>
                </c:pt>
                <c:pt idx="16">
                  <c:v>0.38800000000000001</c:v>
                </c:pt>
                <c:pt idx="17">
                  <c:v>0.35399999999999998</c:v>
                </c:pt>
                <c:pt idx="18">
                  <c:v>0.32800000000000001</c:v>
                </c:pt>
                <c:pt idx="19">
                  <c:v>0.30199999999999999</c:v>
                </c:pt>
                <c:pt idx="20">
                  <c:v>0.28000000000000003</c:v>
                </c:pt>
              </c:numCache>
            </c:numRef>
          </c:yVal>
          <c:smooth val="0"/>
          <c:extLst>
            <c:ext xmlns:c16="http://schemas.microsoft.com/office/drawing/2014/chart" uri="{C3380CC4-5D6E-409C-BE32-E72D297353CC}">
              <c16:uniqueId val="{00000000-0B44-484B-994B-F051655C3AF3}"/>
            </c:ext>
          </c:extLst>
        </c:ser>
        <c:dLbls>
          <c:showLegendKey val="0"/>
          <c:showVal val="0"/>
          <c:showCatName val="0"/>
          <c:showSerName val="0"/>
          <c:showPercent val="0"/>
          <c:showBubbleSize val="0"/>
        </c:dLbls>
        <c:axId val="1640671552"/>
        <c:axId val="1640671968"/>
      </c:scatterChart>
      <c:valAx>
        <c:axId val="1640671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671968"/>
        <c:crosses val="autoZero"/>
        <c:crossBetween val="midCat"/>
      </c:valAx>
      <c:valAx>
        <c:axId val="164067196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6715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COMETFarm!$A$22</c:f>
              <c:strCache>
                <c:ptCount val="1"/>
                <c:pt idx="0">
                  <c:v>walnut</c:v>
                </c:pt>
              </c:strCache>
            </c:strRef>
          </c:tx>
          <c:spPr>
            <a:solidFill>
              <a:schemeClr val="accent5"/>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COMETFarm!$B$22:$G$22</c:f>
              <c:numCache>
                <c:formatCode>0.0</c:formatCode>
                <c:ptCount val="6"/>
                <c:pt idx="0">
                  <c:v>0.5</c:v>
                </c:pt>
                <c:pt idx="1">
                  <c:v>8.1999999999999993</c:v>
                </c:pt>
                <c:pt idx="2">
                  <c:v>37.799999999999997</c:v>
                </c:pt>
                <c:pt idx="3">
                  <c:v>100.4</c:v>
                </c:pt>
                <c:pt idx="4">
                  <c:v>202.2</c:v>
                </c:pt>
                <c:pt idx="5">
                  <c:v>344</c:v>
                </c:pt>
              </c:numCache>
            </c:numRef>
          </c:val>
          <c:extLst>
            <c:ext xmlns:c16="http://schemas.microsoft.com/office/drawing/2014/chart" uri="{C3380CC4-5D6E-409C-BE32-E72D297353CC}">
              <c16:uniqueId val="{00000000-04D1-4E37-9D66-EFF4DCE6EDC0}"/>
            </c:ext>
          </c:extLst>
        </c:ser>
        <c:dLbls>
          <c:showLegendKey val="0"/>
          <c:showVal val="0"/>
          <c:showCatName val="0"/>
          <c:showSerName val="0"/>
          <c:showPercent val="0"/>
          <c:showBubbleSize val="0"/>
        </c:dLbls>
        <c:gapWidth val="150"/>
        <c:overlap val="100"/>
        <c:axId val="1591932191"/>
        <c:axId val="1591922207"/>
      </c:barChart>
      <c:catAx>
        <c:axId val="1591932191"/>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1922207"/>
        <c:crosses val="autoZero"/>
        <c:auto val="1"/>
        <c:lblAlgn val="ctr"/>
        <c:lblOffset val="100"/>
        <c:noMultiLvlLbl val="0"/>
      </c:catAx>
      <c:valAx>
        <c:axId val="1591922207"/>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Carbon Stock</a:t>
                </a:r>
                <a:r>
                  <a:rPr lang="en-US" baseline="0"/>
                  <a:t> </a:t>
                </a:r>
                <a:r>
                  <a:rPr lang="en-US"/>
                  <a:t>(t</a:t>
                </a:r>
                <a:r>
                  <a:rPr lang="en-US" baseline="0"/>
                  <a:t> CO</a:t>
                </a:r>
                <a:r>
                  <a:rPr lang="en-US" baseline="-25000"/>
                  <a:t>2e</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1932191"/>
        <c:crosses val="autoZero"/>
        <c:crossBetween val="between"/>
      </c:valAx>
      <c:spPr>
        <a:noFill/>
        <a:ln>
          <a:solidFill>
            <a:schemeClr val="bg2">
              <a:lumMod val="9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78937007874015"/>
          <c:y val="6.9861111111111124E-2"/>
          <c:w val="0.79965507436570427"/>
          <c:h val="0.63639581510644505"/>
        </c:manualLayout>
      </c:layout>
      <c:barChart>
        <c:barDir val="col"/>
        <c:grouping val="stacked"/>
        <c:varyColors val="0"/>
        <c:ser>
          <c:idx val="1"/>
          <c:order val="0"/>
          <c:tx>
            <c:strRef>
              <c:f>COMETFarm!$A$25</c:f>
              <c:strCache>
                <c:ptCount val="1"/>
                <c:pt idx="0">
                  <c:v>northern red oak (tonnes CO2 equiv.)</c:v>
                </c:pt>
              </c:strCache>
            </c:strRef>
          </c:tx>
          <c:spPr>
            <a:solidFill>
              <a:schemeClr val="accent5"/>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COMETFarm!$B$25:$G$25</c:f>
              <c:numCache>
                <c:formatCode>0.0</c:formatCode>
                <c:ptCount val="6"/>
                <c:pt idx="0">
                  <c:v>1.1000000000000001</c:v>
                </c:pt>
                <c:pt idx="1">
                  <c:v>14.6</c:v>
                </c:pt>
                <c:pt idx="2">
                  <c:v>50.8</c:v>
                </c:pt>
                <c:pt idx="3">
                  <c:v>118.3</c:v>
                </c:pt>
                <c:pt idx="4">
                  <c:v>219.1</c:v>
                </c:pt>
                <c:pt idx="5">
                  <c:v>351.6</c:v>
                </c:pt>
              </c:numCache>
            </c:numRef>
          </c:val>
          <c:extLst>
            <c:ext xmlns:c16="http://schemas.microsoft.com/office/drawing/2014/chart" uri="{C3380CC4-5D6E-409C-BE32-E72D297353CC}">
              <c16:uniqueId val="{00000000-E8AD-4B98-8C46-39D2217A0FAE}"/>
            </c:ext>
          </c:extLst>
        </c:ser>
        <c:ser>
          <c:idx val="2"/>
          <c:order val="1"/>
          <c:tx>
            <c:strRef>
              <c:f>COMETFarm!$A$26</c:f>
              <c:strCache>
                <c:ptCount val="1"/>
                <c:pt idx="0">
                  <c:v>white oak (tonnes CO2 equiv.)</c:v>
                </c:pt>
              </c:strCache>
            </c:strRef>
          </c:tx>
          <c:spPr>
            <a:solidFill>
              <a:schemeClr val="accent4"/>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COMETFarm!$B$26:$G$26</c:f>
              <c:numCache>
                <c:formatCode>0.0</c:formatCode>
                <c:ptCount val="6"/>
                <c:pt idx="0">
                  <c:v>1.1000000000000001</c:v>
                </c:pt>
                <c:pt idx="1">
                  <c:v>14.6</c:v>
                </c:pt>
                <c:pt idx="2">
                  <c:v>50.8</c:v>
                </c:pt>
                <c:pt idx="3">
                  <c:v>118.3</c:v>
                </c:pt>
                <c:pt idx="4">
                  <c:v>219.1</c:v>
                </c:pt>
                <c:pt idx="5">
                  <c:v>351.6</c:v>
                </c:pt>
              </c:numCache>
            </c:numRef>
          </c:val>
          <c:extLst>
            <c:ext xmlns:c16="http://schemas.microsoft.com/office/drawing/2014/chart" uri="{C3380CC4-5D6E-409C-BE32-E72D297353CC}">
              <c16:uniqueId val="{00000001-E8AD-4B98-8C46-39D2217A0FAE}"/>
            </c:ext>
          </c:extLst>
        </c:ser>
        <c:ser>
          <c:idx val="3"/>
          <c:order val="2"/>
          <c:tx>
            <c:strRef>
              <c:f>COMETFarm!$A$27</c:f>
              <c:strCache>
                <c:ptCount val="1"/>
                <c:pt idx="0">
                  <c:v>walnut (tonnes CO2 equiv.)</c:v>
                </c:pt>
              </c:strCache>
            </c:strRef>
          </c:tx>
          <c:spPr>
            <a:solidFill>
              <a:schemeClr val="accent6">
                <a:lumMod val="60000"/>
              </a:schemeClr>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COMETFarm!$B$27:$G$27</c:f>
              <c:numCache>
                <c:formatCode>0.0</c:formatCode>
                <c:ptCount val="6"/>
                <c:pt idx="0">
                  <c:v>1.1000000000000001</c:v>
                </c:pt>
                <c:pt idx="1">
                  <c:v>16.5</c:v>
                </c:pt>
                <c:pt idx="2">
                  <c:v>76.400000000000006</c:v>
                </c:pt>
                <c:pt idx="3">
                  <c:v>202.3</c:v>
                </c:pt>
                <c:pt idx="4">
                  <c:v>407.3</c:v>
                </c:pt>
                <c:pt idx="5">
                  <c:v>692.8</c:v>
                </c:pt>
              </c:numCache>
            </c:numRef>
          </c:val>
          <c:extLst>
            <c:ext xmlns:c16="http://schemas.microsoft.com/office/drawing/2014/chart" uri="{C3380CC4-5D6E-409C-BE32-E72D297353CC}">
              <c16:uniqueId val="{00000002-E8AD-4B98-8C46-39D2217A0FAE}"/>
            </c:ext>
          </c:extLst>
        </c:ser>
        <c:dLbls>
          <c:showLegendKey val="0"/>
          <c:showVal val="0"/>
          <c:showCatName val="0"/>
          <c:showSerName val="0"/>
          <c:showPercent val="0"/>
          <c:showBubbleSize val="0"/>
        </c:dLbls>
        <c:gapWidth val="150"/>
        <c:overlap val="100"/>
        <c:axId val="1707335583"/>
        <c:axId val="1707323103"/>
      </c:barChart>
      <c:catAx>
        <c:axId val="1707335583"/>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7323103"/>
        <c:crosses val="autoZero"/>
        <c:auto val="1"/>
        <c:lblAlgn val="ctr"/>
        <c:lblOffset val="100"/>
        <c:noMultiLvlLbl val="0"/>
      </c:catAx>
      <c:valAx>
        <c:axId val="1707323103"/>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Carbon Stock (t CO</a:t>
                </a:r>
                <a:r>
                  <a:rPr lang="en-US" sz="1000" b="0" i="0" u="none" strike="noStrike" baseline="-25000">
                    <a:effectLst/>
                  </a:rPr>
                  <a:t>2e</a:t>
                </a:r>
                <a:r>
                  <a:rPr lang="en-US" sz="1000" b="0" i="0" u="none" strike="noStrike" baseline="0">
                    <a:effectLst/>
                  </a:rPr>
                  <a: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7335583"/>
        <c:crosses val="autoZero"/>
        <c:crossBetween val="between"/>
      </c:valAx>
      <c:spPr>
        <a:noFill/>
        <a:ln>
          <a:solidFill>
            <a:schemeClr val="bg2"/>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1"/>
          <c:order val="0"/>
          <c:tx>
            <c:strRef>
              <c:f>COMETFarm!$A$31</c:f>
              <c:strCache>
                <c:ptCount val="1"/>
                <c:pt idx="0">
                  <c:v>cottonwood (tonnes CO2 equiv.)</c:v>
                </c:pt>
              </c:strCache>
            </c:strRef>
          </c:tx>
          <c:spPr>
            <a:solidFill>
              <a:schemeClr val="accent5"/>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COMETFarm!$B$31:$G$31</c:f>
              <c:numCache>
                <c:formatCode>0.0</c:formatCode>
                <c:ptCount val="6"/>
                <c:pt idx="0">
                  <c:v>0.7</c:v>
                </c:pt>
                <c:pt idx="1">
                  <c:v>37.1</c:v>
                </c:pt>
                <c:pt idx="2">
                  <c:v>188.9</c:v>
                </c:pt>
                <c:pt idx="3">
                  <c:v>458.7</c:v>
                </c:pt>
                <c:pt idx="4">
                  <c:v>821.9</c:v>
                </c:pt>
                <c:pt idx="5">
                  <c:v>1248.5</c:v>
                </c:pt>
              </c:numCache>
            </c:numRef>
          </c:val>
          <c:extLst>
            <c:ext xmlns:c16="http://schemas.microsoft.com/office/drawing/2014/chart" uri="{C3380CC4-5D6E-409C-BE32-E72D297353CC}">
              <c16:uniqueId val="{00000000-9E90-40B6-860B-79D68D59A1F5}"/>
            </c:ext>
          </c:extLst>
        </c:ser>
        <c:ser>
          <c:idx val="2"/>
          <c:order val="1"/>
          <c:tx>
            <c:strRef>
              <c:f>COMETFarm!$A$32</c:f>
              <c:strCache>
                <c:ptCount val="1"/>
                <c:pt idx="0">
                  <c:v>northern red oak (tonnes CO2 equiv.)</c:v>
                </c:pt>
              </c:strCache>
            </c:strRef>
          </c:tx>
          <c:spPr>
            <a:solidFill>
              <a:schemeClr val="accent4"/>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COMETFarm!$B$32:$G$32</c:f>
              <c:numCache>
                <c:formatCode>0.0</c:formatCode>
                <c:ptCount val="6"/>
                <c:pt idx="0">
                  <c:v>0.7</c:v>
                </c:pt>
                <c:pt idx="1">
                  <c:v>8.8000000000000007</c:v>
                </c:pt>
                <c:pt idx="2">
                  <c:v>30.5</c:v>
                </c:pt>
                <c:pt idx="3">
                  <c:v>71</c:v>
                </c:pt>
                <c:pt idx="4">
                  <c:v>131.4</c:v>
                </c:pt>
                <c:pt idx="5">
                  <c:v>210.9</c:v>
                </c:pt>
              </c:numCache>
            </c:numRef>
          </c:val>
          <c:extLst>
            <c:ext xmlns:c16="http://schemas.microsoft.com/office/drawing/2014/chart" uri="{C3380CC4-5D6E-409C-BE32-E72D297353CC}">
              <c16:uniqueId val="{00000001-9E90-40B6-860B-79D68D59A1F5}"/>
            </c:ext>
          </c:extLst>
        </c:ser>
        <c:ser>
          <c:idx val="3"/>
          <c:order val="2"/>
          <c:tx>
            <c:strRef>
              <c:f>COMETFarm!$A$33</c:f>
              <c:strCache>
                <c:ptCount val="1"/>
                <c:pt idx="0">
                  <c:v>post oak (tonnes CO2 equiv.)</c:v>
                </c:pt>
              </c:strCache>
            </c:strRef>
          </c:tx>
          <c:spPr>
            <a:solidFill>
              <a:schemeClr val="accent6">
                <a:lumMod val="60000"/>
              </a:schemeClr>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COMETFarm!$B$33:$G$33</c:f>
              <c:numCache>
                <c:formatCode>0.0</c:formatCode>
                <c:ptCount val="6"/>
                <c:pt idx="0">
                  <c:v>0.7</c:v>
                </c:pt>
                <c:pt idx="1">
                  <c:v>8.8000000000000007</c:v>
                </c:pt>
                <c:pt idx="2">
                  <c:v>30.5</c:v>
                </c:pt>
                <c:pt idx="3">
                  <c:v>71</c:v>
                </c:pt>
                <c:pt idx="4">
                  <c:v>131.4</c:v>
                </c:pt>
                <c:pt idx="5">
                  <c:v>210.9</c:v>
                </c:pt>
              </c:numCache>
            </c:numRef>
          </c:val>
          <c:extLst>
            <c:ext xmlns:c16="http://schemas.microsoft.com/office/drawing/2014/chart" uri="{C3380CC4-5D6E-409C-BE32-E72D297353CC}">
              <c16:uniqueId val="{00000002-9E90-40B6-860B-79D68D59A1F5}"/>
            </c:ext>
          </c:extLst>
        </c:ser>
        <c:ser>
          <c:idx val="0"/>
          <c:order val="3"/>
          <c:tx>
            <c:strRef>
              <c:f>COMETFarm!$A$34</c:f>
              <c:strCache>
                <c:ptCount val="1"/>
                <c:pt idx="0">
                  <c:v>swamp white oak (tonnes CO2 equiv.)</c:v>
                </c:pt>
              </c:strCache>
            </c:strRef>
          </c:tx>
          <c:spPr>
            <a:solidFill>
              <a:schemeClr val="accent6"/>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COMETFarm!$B$34:$G$34</c:f>
              <c:numCache>
                <c:formatCode>0.0</c:formatCode>
                <c:ptCount val="6"/>
                <c:pt idx="0">
                  <c:v>0.7</c:v>
                </c:pt>
                <c:pt idx="1">
                  <c:v>8.8000000000000007</c:v>
                </c:pt>
                <c:pt idx="2">
                  <c:v>30.5</c:v>
                </c:pt>
                <c:pt idx="3">
                  <c:v>71</c:v>
                </c:pt>
                <c:pt idx="4">
                  <c:v>131.4</c:v>
                </c:pt>
                <c:pt idx="5">
                  <c:v>210.9</c:v>
                </c:pt>
              </c:numCache>
            </c:numRef>
          </c:val>
          <c:extLst>
            <c:ext xmlns:c16="http://schemas.microsoft.com/office/drawing/2014/chart" uri="{C3380CC4-5D6E-409C-BE32-E72D297353CC}">
              <c16:uniqueId val="{00000005-9E90-40B6-860B-79D68D59A1F5}"/>
            </c:ext>
          </c:extLst>
        </c:ser>
        <c:ser>
          <c:idx val="4"/>
          <c:order val="4"/>
          <c:tx>
            <c:strRef>
              <c:f>COMETFarm!$A$35</c:f>
              <c:strCache>
                <c:ptCount val="1"/>
                <c:pt idx="0">
                  <c:v>maple (tonnes CO2 equiv.)</c:v>
                </c:pt>
              </c:strCache>
            </c:strRef>
          </c:tx>
          <c:spPr>
            <a:solidFill>
              <a:schemeClr val="accent5">
                <a:lumMod val="60000"/>
              </a:schemeClr>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COMETFarm!$B$35:$G$35</c:f>
              <c:numCache>
                <c:formatCode>0.0</c:formatCode>
                <c:ptCount val="6"/>
                <c:pt idx="0">
                  <c:v>0.7</c:v>
                </c:pt>
                <c:pt idx="1">
                  <c:v>15</c:v>
                </c:pt>
                <c:pt idx="2">
                  <c:v>58.4</c:v>
                </c:pt>
                <c:pt idx="3">
                  <c:v>134.19999999999999</c:v>
                </c:pt>
                <c:pt idx="4">
                  <c:v>238.5</c:v>
                </c:pt>
                <c:pt idx="5">
                  <c:v>364.7</c:v>
                </c:pt>
              </c:numCache>
            </c:numRef>
          </c:val>
          <c:extLst>
            <c:ext xmlns:c16="http://schemas.microsoft.com/office/drawing/2014/chart" uri="{C3380CC4-5D6E-409C-BE32-E72D297353CC}">
              <c16:uniqueId val="{00000006-9E90-40B6-860B-79D68D59A1F5}"/>
            </c:ext>
          </c:extLst>
        </c:ser>
        <c:dLbls>
          <c:showLegendKey val="0"/>
          <c:showVal val="0"/>
          <c:showCatName val="0"/>
          <c:showSerName val="0"/>
          <c:showPercent val="0"/>
          <c:showBubbleSize val="0"/>
        </c:dLbls>
        <c:gapWidth val="150"/>
        <c:overlap val="100"/>
        <c:axId val="1707335583"/>
        <c:axId val="1707323103"/>
      </c:barChart>
      <c:catAx>
        <c:axId val="1707335583"/>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7323103"/>
        <c:crosses val="autoZero"/>
        <c:auto val="1"/>
        <c:lblAlgn val="ctr"/>
        <c:lblOffset val="100"/>
        <c:noMultiLvlLbl val="0"/>
      </c:catAx>
      <c:valAx>
        <c:axId val="1707323103"/>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Carbon Stock (t CO</a:t>
                </a:r>
                <a:r>
                  <a:rPr lang="en-US" sz="1000" b="0" i="0" u="none" strike="noStrike" baseline="-25000">
                    <a:effectLst/>
                  </a:rPr>
                  <a:t>2e</a:t>
                </a:r>
                <a:r>
                  <a:rPr lang="en-US" sz="1000" b="0" i="0" u="none" strike="noStrike" baseline="0">
                    <a:effectLst/>
                  </a:rPr>
                  <a: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7335583"/>
        <c:crosses val="autoZero"/>
        <c:crossBetween val="between"/>
      </c:valAx>
      <c:spPr>
        <a:noFill/>
        <a:ln>
          <a:solidFill>
            <a:srgbClr val="E7E6E6"/>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1"/>
          <c:order val="0"/>
          <c:tx>
            <c:strRef>
              <c:f>COMETFarm!$A$39</c:f>
              <c:strCache>
                <c:ptCount val="1"/>
                <c:pt idx="0">
                  <c:v>hackberry (tonnes CO2 equiv.)</c:v>
                </c:pt>
              </c:strCache>
            </c:strRef>
          </c:tx>
          <c:spPr>
            <a:solidFill>
              <a:srgbClr val="FFC000"/>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COMETFarm!$B$39:$G$39</c:f>
              <c:numCache>
                <c:formatCode>0.0</c:formatCode>
                <c:ptCount val="6"/>
                <c:pt idx="0">
                  <c:v>0.1</c:v>
                </c:pt>
                <c:pt idx="1">
                  <c:v>2.2000000000000002</c:v>
                </c:pt>
                <c:pt idx="2">
                  <c:v>10</c:v>
                </c:pt>
                <c:pt idx="3">
                  <c:v>26.7</c:v>
                </c:pt>
                <c:pt idx="4">
                  <c:v>53.8</c:v>
                </c:pt>
                <c:pt idx="5">
                  <c:v>91.5</c:v>
                </c:pt>
              </c:numCache>
            </c:numRef>
          </c:val>
          <c:extLst>
            <c:ext xmlns:c16="http://schemas.microsoft.com/office/drawing/2014/chart" uri="{C3380CC4-5D6E-409C-BE32-E72D297353CC}">
              <c16:uniqueId val="{00000000-0013-40BE-8CD2-DEA4BC1D23EF}"/>
            </c:ext>
          </c:extLst>
        </c:ser>
        <c:ser>
          <c:idx val="2"/>
          <c:order val="1"/>
          <c:tx>
            <c:strRef>
              <c:f>COMETFarm!$A$40</c:f>
              <c:strCache>
                <c:ptCount val="1"/>
                <c:pt idx="0">
                  <c:v>eastern redcedar (tonnes CO2 equiv.)</c:v>
                </c:pt>
              </c:strCache>
            </c:strRef>
          </c:tx>
          <c:spPr>
            <a:solidFill>
              <a:srgbClr val="70AD47">
                <a:lumMod val="75000"/>
              </a:srgbClr>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COMETFarm!$B$40:$G$40</c:f>
              <c:numCache>
                <c:formatCode>0.0</c:formatCode>
                <c:ptCount val="6"/>
                <c:pt idx="0">
                  <c:v>0.3</c:v>
                </c:pt>
                <c:pt idx="1">
                  <c:v>3.1</c:v>
                </c:pt>
                <c:pt idx="2">
                  <c:v>10.4</c:v>
                </c:pt>
                <c:pt idx="3">
                  <c:v>21.9</c:v>
                </c:pt>
                <c:pt idx="4">
                  <c:v>36.6</c:v>
                </c:pt>
                <c:pt idx="5">
                  <c:v>53.5</c:v>
                </c:pt>
              </c:numCache>
            </c:numRef>
          </c:val>
          <c:extLst>
            <c:ext xmlns:c16="http://schemas.microsoft.com/office/drawing/2014/chart" uri="{C3380CC4-5D6E-409C-BE32-E72D297353CC}">
              <c16:uniqueId val="{00000001-0013-40BE-8CD2-DEA4BC1D23EF}"/>
            </c:ext>
          </c:extLst>
        </c:ser>
        <c:ser>
          <c:idx val="3"/>
          <c:order val="2"/>
          <c:tx>
            <c:strRef>
              <c:f>COMETFarm!$A$41</c:f>
              <c:strCache>
                <c:ptCount val="1"/>
                <c:pt idx="0">
                  <c:v>pine (tonnes CO2 equiv.)</c:v>
                </c:pt>
              </c:strCache>
            </c:strRef>
          </c:tx>
          <c:spPr>
            <a:solidFill>
              <a:srgbClr val="FFC000">
                <a:lumMod val="50000"/>
              </a:srgbClr>
            </a:solidFill>
            <a:ln>
              <a:noFill/>
            </a:ln>
            <a:effectLst/>
          </c:spPr>
          <c:invertIfNegative val="0"/>
          <c:cat>
            <c:numRef>
              <c:f>COMETFarm!$B$20:$G$20</c:f>
              <c:numCache>
                <c:formatCode>0</c:formatCode>
                <c:ptCount val="6"/>
                <c:pt idx="0">
                  <c:v>2022</c:v>
                </c:pt>
                <c:pt idx="1">
                  <c:v>2032</c:v>
                </c:pt>
                <c:pt idx="2">
                  <c:v>2042</c:v>
                </c:pt>
                <c:pt idx="3">
                  <c:v>2052</c:v>
                </c:pt>
                <c:pt idx="4">
                  <c:v>2062</c:v>
                </c:pt>
                <c:pt idx="5">
                  <c:v>2072</c:v>
                </c:pt>
              </c:numCache>
            </c:numRef>
          </c:cat>
          <c:val>
            <c:numRef>
              <c:f>COMETFarm!$B$41:$G$41</c:f>
              <c:numCache>
                <c:formatCode>0.0</c:formatCode>
                <c:ptCount val="6"/>
                <c:pt idx="0">
                  <c:v>0.3</c:v>
                </c:pt>
                <c:pt idx="1">
                  <c:v>82.8</c:v>
                </c:pt>
                <c:pt idx="2">
                  <c:v>547.5</c:v>
                </c:pt>
                <c:pt idx="3">
                  <c:v>922.6</c:v>
                </c:pt>
                <c:pt idx="4">
                  <c:v>1125.0999999999999</c:v>
                </c:pt>
                <c:pt idx="5">
                  <c:v>1219.7</c:v>
                </c:pt>
              </c:numCache>
            </c:numRef>
          </c:val>
          <c:extLst>
            <c:ext xmlns:c16="http://schemas.microsoft.com/office/drawing/2014/chart" uri="{C3380CC4-5D6E-409C-BE32-E72D297353CC}">
              <c16:uniqueId val="{00000002-0013-40BE-8CD2-DEA4BC1D23EF}"/>
            </c:ext>
          </c:extLst>
        </c:ser>
        <c:dLbls>
          <c:showLegendKey val="0"/>
          <c:showVal val="0"/>
          <c:showCatName val="0"/>
          <c:showSerName val="0"/>
          <c:showPercent val="0"/>
          <c:showBubbleSize val="0"/>
        </c:dLbls>
        <c:gapWidth val="150"/>
        <c:overlap val="100"/>
        <c:axId val="1707335583"/>
        <c:axId val="1707323103"/>
      </c:barChart>
      <c:catAx>
        <c:axId val="1707335583"/>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7323103"/>
        <c:crosses val="autoZero"/>
        <c:auto val="1"/>
        <c:lblAlgn val="ctr"/>
        <c:lblOffset val="100"/>
        <c:noMultiLvlLbl val="0"/>
      </c:catAx>
      <c:valAx>
        <c:axId val="1707323103"/>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Carbon Stock (t CO</a:t>
                </a:r>
                <a:r>
                  <a:rPr lang="en-US" sz="1000" b="0" i="0" u="none" strike="noStrike" baseline="-25000">
                    <a:effectLst/>
                  </a:rPr>
                  <a:t>2e</a:t>
                </a:r>
                <a:r>
                  <a:rPr lang="en-US" sz="1000" b="0" i="0" u="none" strike="noStrike" baseline="0">
                    <a:effectLst/>
                  </a:rPr>
                  <a: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7335583"/>
        <c:crosses val="autoZero"/>
        <c:crossBetween val="between"/>
      </c:valAx>
      <c:spPr>
        <a:noFill/>
        <a:ln>
          <a:solidFill>
            <a:srgbClr val="E7E6E6"/>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r">
              <a:defRPr sz="1400" b="0" i="0" u="none" strike="noStrike" kern="1200" spc="0" baseline="0">
                <a:solidFill>
                  <a:schemeClr val="tx1">
                    <a:lumMod val="65000"/>
                    <a:lumOff val="35000"/>
                  </a:schemeClr>
                </a:solidFill>
                <a:latin typeface="+mn-lt"/>
                <a:ea typeface="+mn-ea"/>
                <a:cs typeface="+mn-cs"/>
              </a:defRPr>
            </a:pPr>
            <a:r>
              <a:rPr lang="en-US"/>
              <a:t>Carbon emmissions</a:t>
            </a:r>
            <a:r>
              <a:rPr lang="en-US" baseline="0"/>
              <a:t> avoided </a:t>
            </a:r>
          </a:p>
          <a:p>
            <a:pPr algn="r">
              <a:defRPr/>
            </a:pPr>
            <a:r>
              <a:rPr lang="en-US" baseline="0"/>
              <a:t>due to reduction in:</a:t>
            </a:r>
            <a:endParaRPr lang="en-US"/>
          </a:p>
        </c:rich>
      </c:tx>
      <c:layout>
        <c:manualLayout>
          <c:xMode val="edge"/>
          <c:yMode val="edge"/>
          <c:x val="0.58337807088008709"/>
          <c:y val="0.20920161359747358"/>
        </c:manualLayout>
      </c:layout>
      <c:overlay val="0"/>
      <c:spPr>
        <a:noFill/>
        <a:ln>
          <a:noFill/>
        </a:ln>
        <a:effectLst/>
      </c:spPr>
      <c:txPr>
        <a:bodyPr rot="0" spcFirstLastPara="1" vertOverflow="ellipsis" vert="horz" wrap="square" anchor="ctr" anchorCtr="1"/>
        <a:lstStyle/>
        <a:p>
          <a:pPr algn="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E2-4495-A5E1-40661C2E67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30E2-4495-A5E1-40661C2E67D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30E2-4495-A5E1-40661C2E67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30E2-4495-A5E1-40661C2E67D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Charts!$B$2:$B$5</c:f>
              <c:strCache>
                <c:ptCount val="4"/>
                <c:pt idx="0">
                  <c:v>Driving</c:v>
                </c:pt>
                <c:pt idx="1">
                  <c:v>Electricity</c:v>
                </c:pt>
                <c:pt idx="2">
                  <c:v>Natural gas</c:v>
                </c:pt>
                <c:pt idx="3">
                  <c:v>Excavation</c:v>
                </c:pt>
              </c:strCache>
            </c:strRef>
          </c:cat>
          <c:val>
            <c:numRef>
              <c:f>Charts!$C$2:$C$5</c:f>
              <c:numCache>
                <c:formatCode>_(* #,##0_);_(* \(#,##0\);_(* "-"??_);_(@_)</c:formatCode>
                <c:ptCount val="4"/>
                <c:pt idx="0">
                  <c:v>7471.9335481289581</c:v>
                </c:pt>
                <c:pt idx="1">
                  <c:v>7881.7787511428369</c:v>
                </c:pt>
                <c:pt idx="2">
                  <c:v>146.71016834789197</c:v>
                </c:pt>
                <c:pt idx="3">
                  <c:v>4040.3682645029435</c:v>
                </c:pt>
              </c:numCache>
            </c:numRef>
          </c:val>
          <c:extLst>
            <c:ext xmlns:c16="http://schemas.microsoft.com/office/drawing/2014/chart" uri="{C3380CC4-5D6E-409C-BE32-E72D297353CC}">
              <c16:uniqueId val="{00000000-30E2-4495-A5E1-40661C2E67DC}"/>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9960997292818383"/>
          <c:y val="0.35798907453751039"/>
          <c:w val="0.28779253912657876"/>
          <c:h val="0.2916479467242516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77517134632183"/>
          <c:y val="5.0925907561302948E-2"/>
          <c:w val="0.71634842519685038"/>
          <c:h val="0.61210629921259851"/>
        </c:manualLayout>
      </c:layout>
      <c:barChart>
        <c:barDir val="bar"/>
        <c:grouping val="stacked"/>
        <c:varyColors val="0"/>
        <c:ser>
          <c:idx val="0"/>
          <c:order val="0"/>
          <c:tx>
            <c:strRef>
              <c:f>Charts!$B$2</c:f>
              <c:strCache>
                <c:ptCount val="1"/>
                <c:pt idx="0">
                  <c:v>Driving</c:v>
                </c:pt>
              </c:strCache>
            </c:strRef>
          </c:tx>
          <c:spPr>
            <a:solidFill>
              <a:srgbClr val="669947"/>
            </a:solidFill>
            <a:ln>
              <a:noFill/>
            </a:ln>
            <a:effectLst/>
          </c:spPr>
          <c:invertIfNegative val="0"/>
          <c:dLbls>
            <c:dLbl>
              <c:idx val="0"/>
              <c:tx>
                <c:rich>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r>
                      <a:rPr lang="en-US" sz="1200" b="1">
                        <a:solidFill>
                          <a:schemeClr val="bg1"/>
                        </a:solidFill>
                        <a:latin typeface="Arial" panose="020B0604020202020204" pitchFamily="34" charset="0"/>
                        <a:cs typeface="Arial" panose="020B0604020202020204" pitchFamily="34" charset="0"/>
                      </a:rPr>
                      <a:t>Driving (38%)</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3E4-42F8-A62B-A562A26B52B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Bishop Farm Easement</c:v>
              </c:pt>
            </c:strLit>
          </c:cat>
          <c:val>
            <c:numRef>
              <c:f>Charts!$C$2</c:f>
              <c:numCache>
                <c:formatCode>_(* #,##0_);_(* \(#,##0\);_(* "-"??_);_(@_)</c:formatCode>
                <c:ptCount val="1"/>
                <c:pt idx="0">
                  <c:v>7471.9335481289581</c:v>
                </c:pt>
              </c:numCache>
            </c:numRef>
          </c:val>
          <c:extLst>
            <c:ext xmlns:c16="http://schemas.microsoft.com/office/drawing/2014/chart" uri="{C3380CC4-5D6E-409C-BE32-E72D297353CC}">
              <c16:uniqueId val="{00000000-03E4-42F8-A62B-A562A26B52BD}"/>
            </c:ext>
          </c:extLst>
        </c:ser>
        <c:ser>
          <c:idx val="1"/>
          <c:order val="1"/>
          <c:tx>
            <c:strRef>
              <c:f>Charts!$B$3</c:f>
              <c:strCache>
                <c:ptCount val="1"/>
                <c:pt idx="0">
                  <c:v>Electricity</c:v>
                </c:pt>
              </c:strCache>
            </c:strRef>
          </c:tx>
          <c:spPr>
            <a:solidFill>
              <a:srgbClr val="1A1D32"/>
            </a:solidFill>
            <a:ln>
              <a:noFill/>
            </a:ln>
            <a:effectLst/>
          </c:spPr>
          <c:invertIfNegative val="0"/>
          <c:dLbls>
            <c:dLbl>
              <c:idx val="0"/>
              <c:tx>
                <c:rich>
                  <a:bodyPr/>
                  <a:lstStyle/>
                  <a:p>
                    <a:r>
                      <a:rPr lang="en-US" sz="1200">
                        <a:latin typeface="Arial" panose="020B0604020202020204" pitchFamily="34" charset="0"/>
                        <a:cs typeface="Arial" panose="020B0604020202020204" pitchFamily="34" charset="0"/>
                      </a:rPr>
                      <a:t>Electricity consumption (40%)</a:t>
                    </a:r>
                  </a:p>
                </c:rich>
              </c:tx>
              <c:showLegendKey val="0"/>
              <c:showVal val="1"/>
              <c:showCatName val="0"/>
              <c:showSerName val="0"/>
              <c:showPercent val="0"/>
              <c:showBubbleSize val="0"/>
              <c:extLst>
                <c:ext xmlns:c15="http://schemas.microsoft.com/office/drawing/2012/chart" uri="{CE6537A1-D6FC-4f65-9D91-7224C49458BB}">
                  <c15:layout>
                    <c:manualLayout>
                      <c:w val="0.22089848597666914"/>
                      <c:h val="0.1864611224604481"/>
                    </c:manualLayout>
                  </c15:layout>
                  <c15:showDataLabelsRange val="0"/>
                </c:ext>
                <c:ext xmlns:c16="http://schemas.microsoft.com/office/drawing/2014/chart" uri="{C3380CC4-5D6E-409C-BE32-E72D297353CC}">
                  <c16:uniqueId val="{00000012-03E4-42F8-A62B-A562A26B52B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Bishop Farm Easement</c:v>
              </c:pt>
            </c:strLit>
          </c:cat>
          <c:val>
            <c:numRef>
              <c:f>Charts!$C$3</c:f>
              <c:numCache>
                <c:formatCode>_(* #,##0_);_(* \(#,##0\);_(* "-"??_);_(@_)</c:formatCode>
                <c:ptCount val="1"/>
                <c:pt idx="0">
                  <c:v>7881.7787511428369</c:v>
                </c:pt>
              </c:numCache>
            </c:numRef>
          </c:val>
          <c:extLst>
            <c:ext xmlns:c16="http://schemas.microsoft.com/office/drawing/2014/chart" uri="{C3380CC4-5D6E-409C-BE32-E72D297353CC}">
              <c16:uniqueId val="{00000001-03E4-42F8-A62B-A562A26B52BD}"/>
            </c:ext>
          </c:extLst>
        </c:ser>
        <c:ser>
          <c:idx val="2"/>
          <c:order val="2"/>
          <c:tx>
            <c:strRef>
              <c:f>Charts!$B$4</c:f>
              <c:strCache>
                <c:ptCount val="1"/>
                <c:pt idx="0">
                  <c:v>Natural gas</c:v>
                </c:pt>
              </c:strCache>
            </c:strRef>
          </c:tx>
          <c:spPr>
            <a:solidFill>
              <a:schemeClr val="accent3"/>
            </a:solidFill>
            <a:ln>
              <a:noFill/>
            </a:ln>
            <a:effectLst/>
          </c:spPr>
          <c:invertIfNegative val="0"/>
          <c:dLbls>
            <c:dLbl>
              <c:idx val="0"/>
              <c:layout>
                <c:manualLayout>
                  <c:x val="8.055555555555545E-2"/>
                  <c:y val="-0.2638888888888889"/>
                </c:manualLayout>
              </c:layout>
              <c:tx>
                <c:rich>
                  <a:bodyPr/>
                  <a:lstStyle/>
                  <a:p>
                    <a:r>
                      <a:rPr lang="en-US" sz="1200" b="1">
                        <a:latin typeface="Arial" panose="020B0604020202020204" pitchFamily="34" charset="0"/>
                        <a:cs typeface="Arial" panose="020B0604020202020204" pitchFamily="34" charset="0"/>
                      </a:rPr>
                      <a:t>Propane (0.8%)</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03E4-42F8-A62B-A562A26B52B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cap="flat" cmpd="sng" algn="ctr">
                      <a:solidFill>
                        <a:schemeClr val="tx1">
                          <a:lumMod val="65000"/>
                          <a:lumOff val="35000"/>
                        </a:schemeClr>
                      </a:solidFill>
                      <a:round/>
                    </a:ln>
                    <a:effectLst/>
                  </c:spPr>
                </c15:leaderLines>
              </c:ext>
            </c:extLst>
          </c:dLbls>
          <c:cat>
            <c:strLit>
              <c:ptCount val="1"/>
              <c:pt idx="0">
                <c:v>Bishop Farm Easement</c:v>
              </c:pt>
            </c:strLit>
          </c:cat>
          <c:val>
            <c:numRef>
              <c:f>Charts!$C$4</c:f>
              <c:numCache>
                <c:formatCode>_(* #,##0_);_(* \(#,##0\);_(* "-"??_);_(@_)</c:formatCode>
                <c:ptCount val="1"/>
                <c:pt idx="0">
                  <c:v>146.71016834789197</c:v>
                </c:pt>
              </c:numCache>
            </c:numRef>
          </c:val>
          <c:extLst>
            <c:ext xmlns:c16="http://schemas.microsoft.com/office/drawing/2014/chart" uri="{C3380CC4-5D6E-409C-BE32-E72D297353CC}">
              <c16:uniqueId val="{00000002-03E4-42F8-A62B-A562A26B52BD}"/>
            </c:ext>
          </c:extLst>
        </c:ser>
        <c:ser>
          <c:idx val="3"/>
          <c:order val="3"/>
          <c:tx>
            <c:strRef>
              <c:f>Charts!$B$5</c:f>
              <c:strCache>
                <c:ptCount val="1"/>
                <c:pt idx="0">
                  <c:v>Excavation</c:v>
                </c:pt>
              </c:strCache>
            </c:strRef>
          </c:tx>
          <c:spPr>
            <a:solidFill>
              <a:srgbClr val="C54F2E"/>
            </a:solidFill>
            <a:ln cap="rnd">
              <a:noFill/>
            </a:ln>
            <a:effectLst/>
          </c:spPr>
          <c:invertIfNegative val="0"/>
          <c:dLbls>
            <c:dLbl>
              <c:idx val="0"/>
              <c:tx>
                <c:rich>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r>
                      <a:rPr lang="en-US" sz="1200" b="1">
                        <a:solidFill>
                          <a:schemeClr val="bg1"/>
                        </a:solidFill>
                        <a:latin typeface="Arial" panose="020B0604020202020204" pitchFamily="34" charset="0"/>
                        <a:cs typeface="Arial" panose="020B0604020202020204" pitchFamily="34" charset="0"/>
                      </a:rPr>
                      <a:t>Soil carbon loss (20%)</a:t>
                    </a:r>
                  </a:p>
                </c:rich>
              </c:tx>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901377952755906"/>
                      <c:h val="0.26527777777777778"/>
                    </c:manualLayout>
                  </c15:layout>
                  <c15:showDataLabelsRange val="0"/>
                </c:ext>
                <c:ext xmlns:c16="http://schemas.microsoft.com/office/drawing/2014/chart" uri="{C3380CC4-5D6E-409C-BE32-E72D297353CC}">
                  <c16:uniqueId val="{00000013-03E4-42F8-A62B-A562A26B52B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Bishop Farm Easement</c:v>
              </c:pt>
            </c:strLit>
          </c:cat>
          <c:val>
            <c:numRef>
              <c:f>Charts!$C$5</c:f>
              <c:numCache>
                <c:formatCode>_(* #,##0_);_(* \(#,##0\);_(* "-"??_);_(@_)</c:formatCode>
                <c:ptCount val="1"/>
                <c:pt idx="0">
                  <c:v>4040.3682645029435</c:v>
                </c:pt>
              </c:numCache>
            </c:numRef>
          </c:val>
          <c:extLst>
            <c:ext xmlns:c16="http://schemas.microsoft.com/office/drawing/2014/chart" uri="{C3380CC4-5D6E-409C-BE32-E72D297353CC}">
              <c16:uniqueId val="{00000003-03E4-42F8-A62B-A562A26B52BD}"/>
            </c:ext>
          </c:extLst>
        </c:ser>
        <c:dLbls>
          <c:showLegendKey val="0"/>
          <c:showVal val="0"/>
          <c:showCatName val="0"/>
          <c:showSerName val="0"/>
          <c:showPercent val="0"/>
          <c:showBubbleSize val="0"/>
        </c:dLbls>
        <c:gapWidth val="56"/>
        <c:overlap val="100"/>
        <c:axId val="463099855"/>
        <c:axId val="463097359"/>
      </c:barChart>
      <c:catAx>
        <c:axId val="463099855"/>
        <c:scaling>
          <c:orientation val="minMax"/>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Roboto Medium" panose="02000000000000000000" pitchFamily="2" charset="0"/>
                <a:cs typeface="Arial" panose="020B0604020202020204" pitchFamily="34" charset="0"/>
              </a:defRPr>
            </a:pPr>
            <a:endParaRPr lang="en-US"/>
          </a:p>
        </c:txPr>
        <c:crossAx val="463097359"/>
        <c:crossesAt val="0"/>
        <c:auto val="1"/>
        <c:lblAlgn val="ctr"/>
        <c:lblOffset val="100"/>
        <c:noMultiLvlLbl val="0"/>
      </c:catAx>
      <c:valAx>
        <c:axId val="463097359"/>
        <c:scaling>
          <c:orientation val="minMax"/>
          <c:max val="20000"/>
          <c:min val="0"/>
        </c:scaling>
        <c:delete val="0"/>
        <c:axPos val="b"/>
        <c:majorGridlines>
          <c:spPr>
            <a:ln w="9525" cap="flat" cmpd="sng" algn="ctr">
              <a:noFill/>
              <a:prstDash val="sysDash"/>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Avoided t CO</a:t>
                </a:r>
                <a:r>
                  <a:rPr lang="en-US" sz="1200" baseline="-25000">
                    <a:latin typeface="Arial" panose="020B0604020202020204" pitchFamily="34" charset="0"/>
                    <a:cs typeface="Arial" panose="020B0604020202020204" pitchFamily="34" charset="0"/>
                  </a:rPr>
                  <a:t>2</a:t>
                </a:r>
                <a:r>
                  <a:rPr lang="en-US" sz="1200">
                    <a:latin typeface="Arial" panose="020B0604020202020204" pitchFamily="34" charset="0"/>
                    <a:cs typeface="Arial" panose="020B0604020202020204" pitchFamily="34" charset="0"/>
                  </a:rPr>
                  <a:t>e in first 30 years</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15875">
            <a:solidFill>
              <a:schemeClr val="tx1">
                <a:lumMod val="50000"/>
                <a:lumOff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30998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MPG_Refs!$A$25:$A$34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xVal>
          <c:yVal>
            <c:numRef>
              <c:f>MPG_Refs!$B$25:$B$34</c:f>
              <c:numCache>
                <c:formatCode>General</c:formatCode>
                <c:ptCount val="10"/>
                <c:pt idx="0">
                  <c:v>3506252</c:v>
                </c:pt>
                <c:pt idx="1">
                  <c:v>3451797</c:v>
                </c:pt>
                <c:pt idx="2">
                  <c:v>3554220</c:v>
                </c:pt>
                <c:pt idx="3">
                  <c:v>3522092</c:v>
                </c:pt>
                <c:pt idx="4">
                  <c:v>3566407</c:v>
                </c:pt>
                <c:pt idx="5">
                  <c:v>3562741</c:v>
                </c:pt>
                <c:pt idx="6">
                  <c:v>3488760</c:v>
                </c:pt>
                <c:pt idx="7">
                  <c:v>3465120</c:v>
                </c:pt>
                <c:pt idx="8">
                  <c:v>3099954</c:v>
                </c:pt>
                <c:pt idx="9">
                  <c:v>3248325</c:v>
                </c:pt>
              </c:numCache>
            </c:numRef>
          </c:yVal>
          <c:smooth val="0"/>
          <c:extLst>
            <c:ext xmlns:c16="http://schemas.microsoft.com/office/drawing/2014/chart" uri="{C3380CC4-5D6E-409C-BE32-E72D297353CC}">
              <c16:uniqueId val="{00000000-98FB-472E-BA15-F1FF77B4A646}"/>
            </c:ext>
          </c:extLst>
        </c:ser>
        <c:dLbls>
          <c:showLegendKey val="0"/>
          <c:showVal val="0"/>
          <c:showCatName val="0"/>
          <c:showSerName val="0"/>
          <c:showPercent val="0"/>
          <c:showBubbleSize val="0"/>
        </c:dLbls>
        <c:axId val="1656852896"/>
        <c:axId val="1656855392"/>
      </c:scatterChart>
      <c:valAx>
        <c:axId val="1656852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6855392"/>
        <c:crosses val="autoZero"/>
        <c:crossBetween val="midCat"/>
      </c:valAx>
      <c:valAx>
        <c:axId val="1656855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6852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MPG_Refs!$B$5</c:f>
              <c:strCache>
                <c:ptCount val="1"/>
                <c:pt idx="0">
                  <c:v>total rural</c:v>
                </c:pt>
              </c:strCache>
            </c:strRef>
          </c:tx>
          <c:spPr>
            <a:ln w="19050" cap="rnd">
              <a:solidFill>
                <a:schemeClr val="accent1"/>
              </a:solidFill>
              <a:round/>
            </a:ln>
            <a:effectLst/>
          </c:spPr>
          <c:marker>
            <c:symbol val="none"/>
          </c:marker>
          <c:xVal>
            <c:numRef>
              <c:f>MPG_Refs!$A$6:$A$19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xVal>
          <c:yVal>
            <c:numRef>
              <c:f>MPG_Refs!$B$6:$B$19</c:f>
              <c:numCache>
                <c:formatCode>0</c:formatCode>
                <c:ptCount val="14"/>
                <c:pt idx="0">
                  <c:v>28166</c:v>
                </c:pt>
                <c:pt idx="1">
                  <c:v>27306</c:v>
                </c:pt>
                <c:pt idx="2">
                  <c:v>27081</c:v>
                </c:pt>
                <c:pt idx="3">
                  <c:v>26827</c:v>
                </c:pt>
                <c:pt idx="4">
                  <c:v>26405</c:v>
                </c:pt>
                <c:pt idx="5">
                  <c:v>26391</c:v>
                </c:pt>
                <c:pt idx="6">
                  <c:v>25359</c:v>
                </c:pt>
                <c:pt idx="7">
                  <c:v>24704</c:v>
                </c:pt>
                <c:pt idx="8">
                  <c:v>25030</c:v>
                </c:pt>
                <c:pt idx="9">
                  <c:v>25544</c:v>
                </c:pt>
                <c:pt idx="10">
                  <c:v>25773</c:v>
                </c:pt>
                <c:pt idx="11">
                  <c:v>25652</c:v>
                </c:pt>
                <c:pt idx="12">
                  <c:v>25376</c:v>
                </c:pt>
                <c:pt idx="13">
                  <c:v>23326</c:v>
                </c:pt>
              </c:numCache>
            </c:numRef>
          </c:yVal>
          <c:smooth val="0"/>
          <c:extLst>
            <c:ext xmlns:c16="http://schemas.microsoft.com/office/drawing/2014/chart" uri="{C3380CC4-5D6E-409C-BE32-E72D297353CC}">
              <c16:uniqueId val="{00000000-4C12-4FC9-9324-3FDF7A2747E5}"/>
            </c:ext>
          </c:extLst>
        </c:ser>
        <c:ser>
          <c:idx val="1"/>
          <c:order val="1"/>
          <c:tx>
            <c:strRef>
              <c:f>MPG_Refs!$C$5</c:f>
              <c:strCache>
                <c:ptCount val="1"/>
                <c:pt idx="0">
                  <c:v>total urban</c:v>
                </c:pt>
              </c:strCache>
            </c:strRef>
          </c:tx>
          <c:spPr>
            <a:ln w="19050" cap="rnd">
              <a:solidFill>
                <a:schemeClr val="accent2"/>
              </a:solidFill>
              <a:round/>
            </a:ln>
            <a:effectLst/>
          </c:spPr>
          <c:marker>
            <c:symbol val="none"/>
          </c:marker>
          <c:xVal>
            <c:numRef>
              <c:f>MPG_Refs!$A$6:$A$19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xVal>
          <c:yVal>
            <c:numRef>
              <c:f>MPG_Refs!$C$6:$C$19</c:f>
              <c:numCache>
                <c:formatCode>0</c:formatCode>
                <c:ptCount val="14"/>
                <c:pt idx="0">
                  <c:v>79317</c:v>
                </c:pt>
                <c:pt idx="1">
                  <c:v>78773</c:v>
                </c:pt>
                <c:pt idx="2">
                  <c:v>78765</c:v>
                </c:pt>
                <c:pt idx="3">
                  <c:v>78961</c:v>
                </c:pt>
                <c:pt idx="4">
                  <c:v>76829</c:v>
                </c:pt>
                <c:pt idx="5">
                  <c:v>78187</c:v>
                </c:pt>
                <c:pt idx="6">
                  <c:v>79938</c:v>
                </c:pt>
                <c:pt idx="7">
                  <c:v>80202</c:v>
                </c:pt>
                <c:pt idx="8">
                  <c:v>80193</c:v>
                </c:pt>
                <c:pt idx="9">
                  <c:v>81770</c:v>
                </c:pt>
                <c:pt idx="10">
                  <c:v>82238</c:v>
                </c:pt>
                <c:pt idx="11">
                  <c:v>82302</c:v>
                </c:pt>
                <c:pt idx="12">
                  <c:v>82149</c:v>
                </c:pt>
                <c:pt idx="13">
                  <c:v>70795</c:v>
                </c:pt>
              </c:numCache>
            </c:numRef>
          </c:yVal>
          <c:smooth val="0"/>
          <c:extLst>
            <c:ext xmlns:c16="http://schemas.microsoft.com/office/drawing/2014/chart" uri="{C3380CC4-5D6E-409C-BE32-E72D297353CC}">
              <c16:uniqueId val="{00000001-4C12-4FC9-9324-3FDF7A2747E5}"/>
            </c:ext>
          </c:extLst>
        </c:ser>
        <c:ser>
          <c:idx val="2"/>
          <c:order val="2"/>
          <c:tx>
            <c:strRef>
              <c:f>MPG_Refs!$D$5</c:f>
              <c:strCache>
                <c:ptCount val="1"/>
                <c:pt idx="0">
                  <c:v>total</c:v>
                </c:pt>
              </c:strCache>
            </c:strRef>
          </c:tx>
          <c:spPr>
            <a:ln w="19050" cap="rnd">
              <a:solidFill>
                <a:schemeClr val="accent3"/>
              </a:solidFill>
              <a:round/>
            </a:ln>
            <a:effectLst/>
          </c:spPr>
          <c:marker>
            <c:symbol val="none"/>
          </c:marker>
          <c:xVal>
            <c:numRef>
              <c:f>MPG_Refs!$A$6:$A$19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xVal>
          <c:yVal>
            <c:numRef>
              <c:f>MPG_Refs!$D$6:$D$19</c:f>
              <c:numCache>
                <c:formatCode>0</c:formatCode>
                <c:ptCount val="14"/>
                <c:pt idx="0">
                  <c:v>107483</c:v>
                </c:pt>
                <c:pt idx="1">
                  <c:v>106079</c:v>
                </c:pt>
                <c:pt idx="2">
                  <c:v>105846</c:v>
                </c:pt>
                <c:pt idx="3">
                  <c:v>105788</c:v>
                </c:pt>
                <c:pt idx="4">
                  <c:v>103234</c:v>
                </c:pt>
                <c:pt idx="5">
                  <c:v>104578</c:v>
                </c:pt>
                <c:pt idx="6">
                  <c:v>105297</c:v>
                </c:pt>
                <c:pt idx="7">
                  <c:v>104906</c:v>
                </c:pt>
                <c:pt idx="8">
                  <c:v>105223</c:v>
                </c:pt>
                <c:pt idx="9">
                  <c:v>107314</c:v>
                </c:pt>
                <c:pt idx="10">
                  <c:v>108011</c:v>
                </c:pt>
                <c:pt idx="11">
                  <c:v>107954</c:v>
                </c:pt>
                <c:pt idx="12">
                  <c:v>107525</c:v>
                </c:pt>
                <c:pt idx="13">
                  <c:v>94121</c:v>
                </c:pt>
              </c:numCache>
            </c:numRef>
          </c:yVal>
          <c:smooth val="0"/>
          <c:extLst>
            <c:ext xmlns:c16="http://schemas.microsoft.com/office/drawing/2014/chart" uri="{C3380CC4-5D6E-409C-BE32-E72D297353CC}">
              <c16:uniqueId val="{00000002-4C12-4FC9-9324-3FDF7A2747E5}"/>
            </c:ext>
          </c:extLst>
        </c:ser>
        <c:dLbls>
          <c:showLegendKey val="0"/>
          <c:showVal val="0"/>
          <c:showCatName val="0"/>
          <c:showSerName val="0"/>
          <c:showPercent val="0"/>
          <c:showBubbleSize val="0"/>
        </c:dLbls>
        <c:axId val="1298711760"/>
        <c:axId val="1298704688"/>
      </c:scatterChart>
      <c:valAx>
        <c:axId val="1298711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8704688"/>
        <c:crosses val="autoZero"/>
        <c:crossBetween val="midCat"/>
      </c:valAx>
      <c:valAx>
        <c:axId val="1298704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87117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87630</xdr:colOff>
      <xdr:row>1</xdr:row>
      <xdr:rowOff>230505</xdr:rowOff>
    </xdr:from>
    <xdr:to>
      <xdr:col>0</xdr:col>
      <xdr:colOff>3310890</xdr:colOff>
      <xdr:row>2</xdr:row>
      <xdr:rowOff>310934</xdr:rowOff>
    </xdr:to>
    <xdr:pic>
      <xdr:nvPicPr>
        <xdr:cNvPr id="3" name="Picture 2">
          <a:extLst>
            <a:ext uri="{FF2B5EF4-FFF2-40B4-BE49-F238E27FC236}">
              <a16:creationId xmlns:a16="http://schemas.microsoft.com/office/drawing/2014/main" id="{7A698B6C-5C9A-8C80-CCCF-B144BA5D85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30" y="1335405"/>
          <a:ext cx="3223260" cy="413804"/>
        </a:xfrm>
        <a:prstGeom prst="rect">
          <a:avLst/>
        </a:prstGeom>
      </xdr:spPr>
    </xdr:pic>
    <xdr:clientData/>
  </xdr:twoCellAnchor>
  <xdr:twoCellAnchor editAs="oneCell">
    <xdr:from>
      <xdr:col>0</xdr:col>
      <xdr:colOff>3758565</xdr:colOff>
      <xdr:row>1</xdr:row>
      <xdr:rowOff>154306</xdr:rowOff>
    </xdr:from>
    <xdr:to>
      <xdr:col>0</xdr:col>
      <xdr:colOff>5960745</xdr:colOff>
      <xdr:row>3</xdr:row>
      <xdr:rowOff>50212</xdr:rowOff>
    </xdr:to>
    <xdr:pic>
      <xdr:nvPicPr>
        <xdr:cNvPr id="5" name="Picture 4">
          <a:extLst>
            <a:ext uri="{FF2B5EF4-FFF2-40B4-BE49-F238E27FC236}">
              <a16:creationId xmlns:a16="http://schemas.microsoft.com/office/drawing/2014/main" id="{44A12705-6F74-D980-1B9C-4C0BEF4410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58565" y="1259206"/>
          <a:ext cx="2202180" cy="543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476250</xdr:colOff>
      <xdr:row>3</xdr:row>
      <xdr:rowOff>209550</xdr:rowOff>
    </xdr:from>
    <xdr:to>
      <xdr:col>18</xdr:col>
      <xdr:colOff>219075</xdr:colOff>
      <xdr:row>24</xdr:row>
      <xdr:rowOff>16350</xdr:rowOff>
    </xdr:to>
    <xdr:graphicFrame macro="">
      <xdr:nvGraphicFramePr>
        <xdr:cNvPr id="10" name="Chart 9">
          <a:extLst>
            <a:ext uri="{FF2B5EF4-FFF2-40B4-BE49-F238E27FC236}">
              <a16:creationId xmlns:a16="http://schemas.microsoft.com/office/drawing/2014/main" id="{FBB88B49-B359-4807-BFA1-5B6C32A05F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244475</xdr:colOff>
      <xdr:row>24</xdr:row>
      <xdr:rowOff>174625</xdr:rowOff>
    </xdr:from>
    <xdr:to>
      <xdr:col>18</xdr:col>
      <xdr:colOff>92075</xdr:colOff>
      <xdr:row>39</xdr:row>
      <xdr:rowOff>17462</xdr:rowOff>
    </xdr:to>
    <xdr:graphicFrame macro="">
      <xdr:nvGraphicFramePr>
        <xdr:cNvPr id="11" name="Chart 10">
          <a:extLst>
            <a:ext uri="{FF2B5EF4-FFF2-40B4-BE49-F238E27FC236}">
              <a16:creationId xmlns:a16="http://schemas.microsoft.com/office/drawing/2014/main" id="{8F0B472D-FC14-4DDD-9CD6-0EADB1212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254000</xdr:colOff>
      <xdr:row>39</xdr:row>
      <xdr:rowOff>163512</xdr:rowOff>
    </xdr:from>
    <xdr:to>
      <xdr:col>18</xdr:col>
      <xdr:colOff>104775</xdr:colOff>
      <xdr:row>53</xdr:row>
      <xdr:rowOff>49212</xdr:rowOff>
    </xdr:to>
    <xdr:graphicFrame macro="">
      <xdr:nvGraphicFramePr>
        <xdr:cNvPr id="12" name="Chart 11">
          <a:extLst>
            <a:ext uri="{FF2B5EF4-FFF2-40B4-BE49-F238E27FC236}">
              <a16:creationId xmlns:a16="http://schemas.microsoft.com/office/drawing/2014/main" id="{4E4984BA-3457-4464-BB4E-38C9F6F0B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477838</xdr:colOff>
      <xdr:row>49</xdr:row>
      <xdr:rowOff>158750</xdr:rowOff>
    </xdr:from>
    <xdr:to>
      <xdr:col>17</xdr:col>
      <xdr:colOff>328613</xdr:colOff>
      <xdr:row>64</xdr:row>
      <xdr:rowOff>44450</xdr:rowOff>
    </xdr:to>
    <xdr:graphicFrame macro="">
      <xdr:nvGraphicFramePr>
        <xdr:cNvPr id="13" name="Chart 12">
          <a:extLst>
            <a:ext uri="{FF2B5EF4-FFF2-40B4-BE49-F238E27FC236}">
              <a16:creationId xmlns:a16="http://schemas.microsoft.com/office/drawing/2014/main" id="{EB3AD0FA-E1C7-40A2-BADB-77CBDBA0D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11113</xdr:colOff>
      <xdr:row>65</xdr:row>
      <xdr:rowOff>15875</xdr:rowOff>
    </xdr:from>
    <xdr:to>
      <xdr:col>17</xdr:col>
      <xdr:colOff>446088</xdr:colOff>
      <xdr:row>79</xdr:row>
      <xdr:rowOff>92075</xdr:rowOff>
    </xdr:to>
    <xdr:graphicFrame macro="">
      <xdr:nvGraphicFramePr>
        <xdr:cNvPr id="14" name="Chart 13">
          <a:extLst>
            <a:ext uri="{FF2B5EF4-FFF2-40B4-BE49-F238E27FC236}">
              <a16:creationId xmlns:a16="http://schemas.microsoft.com/office/drawing/2014/main" id="{30A34055-410F-4192-862C-4BFCA707E7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0.00794</cdr:x>
      <cdr:y>0.01356</cdr:y>
    </cdr:from>
    <cdr:to>
      <cdr:x>0.05489</cdr:x>
      <cdr:y>0.06156</cdr:y>
    </cdr:to>
    <cdr:sp macro="" textlink="">
      <cdr:nvSpPr>
        <cdr:cNvPr id="2" name="TextBox 3">
          <a:extLst xmlns:a="http://schemas.openxmlformats.org/drawingml/2006/main">
            <a:ext uri="{FF2B5EF4-FFF2-40B4-BE49-F238E27FC236}">
              <a16:creationId xmlns:a16="http://schemas.microsoft.com/office/drawing/2014/main" id="{A801BED7-17A6-4598-B761-330BC26D1B84}"/>
            </a:ext>
          </a:extLst>
        </cdr:cNvPr>
        <cdr:cNvSpPr txBox="1"/>
      </cdr:nvSpPr>
      <cdr:spPr>
        <a:xfrm xmlns:a="http://schemas.openxmlformats.org/drawingml/2006/main">
          <a:off x="50800" y="50800"/>
          <a:ext cx="300567" cy="17991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148317</xdr:colOff>
      <xdr:row>7</xdr:row>
      <xdr:rowOff>102054</xdr:rowOff>
    </xdr:from>
    <xdr:to>
      <xdr:col>5</xdr:col>
      <xdr:colOff>499382</xdr:colOff>
      <xdr:row>24</xdr:row>
      <xdr:rowOff>172809</xdr:rowOff>
    </xdr:to>
    <xdr:graphicFrame macro="">
      <xdr:nvGraphicFramePr>
        <xdr:cNvPr id="107" name="Chart 1">
          <a:extLst>
            <a:ext uri="{FF2B5EF4-FFF2-40B4-BE49-F238E27FC236}">
              <a16:creationId xmlns:a16="http://schemas.microsoft.com/office/drawing/2014/main" id="{3ECF9BFB-6D7F-7DD9-3A54-57A1745292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579120</xdr:colOff>
      <xdr:row>8</xdr:row>
      <xdr:rowOff>22860</xdr:rowOff>
    </xdr:from>
    <xdr:to>
      <xdr:col>14</xdr:col>
      <xdr:colOff>209550</xdr:colOff>
      <xdr:row>24</xdr:row>
      <xdr:rowOff>121920</xdr:rowOff>
    </xdr:to>
    <xdr:graphicFrame macro="">
      <xdr:nvGraphicFramePr>
        <xdr:cNvPr id="2" name="Chart 1">
          <a:extLst>
            <a:ext uri="{FF2B5EF4-FFF2-40B4-BE49-F238E27FC236}">
              <a16:creationId xmlns:a16="http://schemas.microsoft.com/office/drawing/2014/main" id="{C6A20DCC-E97F-E6AC-3869-69A21A9A23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396240</xdr:colOff>
      <xdr:row>20</xdr:row>
      <xdr:rowOff>133350</xdr:rowOff>
    </xdr:from>
    <xdr:to>
      <xdr:col>12</xdr:col>
      <xdr:colOff>182880</xdr:colOff>
      <xdr:row>35</xdr:row>
      <xdr:rowOff>133350</xdr:rowOff>
    </xdr:to>
    <xdr:graphicFrame macro="">
      <xdr:nvGraphicFramePr>
        <xdr:cNvPr id="3" name="Chart 2">
          <a:extLst>
            <a:ext uri="{FF2B5EF4-FFF2-40B4-BE49-F238E27FC236}">
              <a16:creationId xmlns:a16="http://schemas.microsoft.com/office/drawing/2014/main" id="{621A063E-864C-8C7C-CC86-77C26FD722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314325</xdr:colOff>
      <xdr:row>4</xdr:row>
      <xdr:rowOff>94297</xdr:rowOff>
    </xdr:from>
    <xdr:to>
      <xdr:col>12</xdr:col>
      <xdr:colOff>110490</xdr:colOff>
      <xdr:row>19</xdr:row>
      <xdr:rowOff>122872</xdr:rowOff>
    </xdr:to>
    <xdr:graphicFrame macro="">
      <xdr:nvGraphicFramePr>
        <xdr:cNvPr id="4" name="Chart 3">
          <a:extLst>
            <a:ext uri="{FF2B5EF4-FFF2-40B4-BE49-F238E27FC236}">
              <a16:creationId xmlns:a16="http://schemas.microsoft.com/office/drawing/2014/main" id="{52FA6999-3E71-3689-BEA4-039A7B4E88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388379</xdr:colOff>
      <xdr:row>49</xdr:row>
      <xdr:rowOff>140629</xdr:rowOff>
    </xdr:to>
    <xdr:pic>
      <xdr:nvPicPr>
        <xdr:cNvPr id="2" name="Picture 1">
          <a:extLst>
            <a:ext uri="{FF2B5EF4-FFF2-40B4-BE49-F238E27FC236}">
              <a16:creationId xmlns:a16="http://schemas.microsoft.com/office/drawing/2014/main" id="{168A471F-25E9-8749-9CD2-3CDEDB96048B}"/>
            </a:ext>
          </a:extLst>
        </xdr:cNvPr>
        <xdr:cNvPicPr>
          <a:picLocks noChangeAspect="1"/>
        </xdr:cNvPicPr>
      </xdr:nvPicPr>
      <xdr:blipFill>
        <a:blip xmlns:r="http://schemas.openxmlformats.org/officeDocument/2006/relationships" r:embed="rId1"/>
        <a:stretch>
          <a:fillRect/>
        </a:stretch>
      </xdr:blipFill>
      <xdr:spPr>
        <a:xfrm>
          <a:off x="0" y="2352675"/>
          <a:ext cx="7373379" cy="66589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150733</xdr:colOff>
      <xdr:row>6</xdr:row>
      <xdr:rowOff>126682</xdr:rowOff>
    </xdr:from>
    <xdr:to>
      <xdr:col>43</xdr:col>
      <xdr:colOff>549831</xdr:colOff>
      <xdr:row>19</xdr:row>
      <xdr:rowOff>81915</xdr:rowOff>
    </xdr:to>
    <xdr:graphicFrame macro="">
      <xdr:nvGraphicFramePr>
        <xdr:cNvPr id="2" name="Chart 1">
          <a:extLst>
            <a:ext uri="{FF2B5EF4-FFF2-40B4-BE49-F238E27FC236}">
              <a16:creationId xmlns:a16="http://schemas.microsoft.com/office/drawing/2014/main" id="{DD325F19-6985-1492-5A00-E306C10382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hyperlink" Target="https://www.bts.gov/content/estimated-national-average-vehicle-emissions-rates-vehicle-vehicle-type-using-gasoline-an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tgis-portal.geo.census.gov/arcgis/apps/MapSeries/index.html?appid=2566121a73de463995ed2b2fd7ff6eb7" TargetMode="External"/><Relationship Id="rId1" Type="http://schemas.openxmlformats.org/officeDocument/2006/relationships/hyperlink" Target="https://mtgis-portal.geo.census.gov/arcgis/apps/MapSeries/index.html?appid=2566121a73de463995ed2b2fd7ff6eb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pa.gov/egrid/power-profiler" TargetMode="External"/><Relationship Id="rId3" Type="http://schemas.openxmlformats.org/officeDocument/2006/relationships/hyperlink" Target="https://data.census.gov/cedsci/table?q=rural&amp;t=Housing%20Units&amp;g=0500000US17179&amp;tid=DECENNIALSF12010.H2" TargetMode="External"/><Relationship Id="rId7" Type="http://schemas.openxmlformats.org/officeDocument/2006/relationships/hyperlink" Target="https://www.eia.gov/consumption/residential/data/2015/c&amp;e/pdf/ce1.3.pdf" TargetMode="External"/><Relationship Id="rId12" Type="http://schemas.openxmlformats.org/officeDocument/2006/relationships/printerSettings" Target="../printerSettings/printerSettings3.bin"/><Relationship Id="rId2" Type="http://schemas.openxmlformats.org/officeDocument/2006/relationships/hyperlink" Target="https://data.census.gov/cedsci/table?q=rural&amp;t=Housing%20Units&amp;g=0500000US17179&amp;tid=DECENNIALSF12010.H2" TargetMode="External"/><Relationship Id="rId1" Type="http://schemas.openxmlformats.org/officeDocument/2006/relationships/hyperlink" Target="https://idot.illinois.gov/transportation-system/Network-Overview/highway-system/illinois-travel-statistics" TargetMode="External"/><Relationship Id="rId6" Type="http://schemas.openxmlformats.org/officeDocument/2006/relationships/hyperlink" Target="https://idot.illinois.gov/transportation-system/Network-Overview/highway-system/illinois-travel-statistics" TargetMode="External"/><Relationship Id="rId11" Type="http://schemas.openxmlformats.org/officeDocument/2006/relationships/hyperlink" Target="https://ww2.arb.ca.gov/sites/default/files/auction-proceeds/cci_emissionfactordatabase_2022-11-30.xlsx" TargetMode="External"/><Relationship Id="rId5" Type="http://schemas.openxmlformats.org/officeDocument/2006/relationships/hyperlink" Target="https://idot.illinois.gov/transportation-system/Network-Overview/highway-system/illinois-travel-statistics" TargetMode="External"/><Relationship Id="rId10" Type="http://schemas.openxmlformats.org/officeDocument/2006/relationships/hyperlink" Target="https://ww2.arb.ca.gov/sites/default/files/auction-proceeds/cci_emissionfactordatabase_2022-11-30.xlsx" TargetMode="External"/><Relationship Id="rId4" Type="http://schemas.openxmlformats.org/officeDocument/2006/relationships/hyperlink" Target="https://www.eia.gov/consumption/residential/data/2015/index.php?view=consumption" TargetMode="External"/><Relationship Id="rId9" Type="http://schemas.openxmlformats.org/officeDocument/2006/relationships/hyperlink" Target="https://www.eia.gov/consumption/residential/data/2015/c&amp;e/pdf/ce1.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www.eia.gov/consumption/residential/data/2015/index.php?view=consumption"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idot.illinois.gov/transportation-system/Network-Overview/highway-system/illinois-travel-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99"/>
  </sheetPr>
  <dimension ref="A1:A14"/>
  <sheetViews>
    <sheetView tabSelected="1" workbookViewId="0">
      <selection activeCell="A16" sqref="A16"/>
    </sheetView>
  </sheetViews>
  <sheetFormatPr defaultColWidth="8.7265625" defaultRowHeight="14"/>
  <cols>
    <col min="1" max="1" width="92.1796875" style="1" customWidth="1"/>
    <col min="2" max="16384" width="8.7265625" style="1"/>
  </cols>
  <sheetData>
    <row r="1" spans="1:1" s="171" customFormat="1" ht="87" customHeight="1">
      <c r="A1" s="176" t="s">
        <v>0</v>
      </c>
    </row>
    <row r="2" spans="1:1" s="171" customFormat="1" ht="25.15" customHeight="1">
      <c r="A2" s="210"/>
    </row>
    <row r="3" spans="1:1" s="171" customFormat="1" ht="25.15" customHeight="1">
      <c r="A3" s="210"/>
    </row>
    <row r="4" spans="1:1" s="171" customFormat="1" ht="25.15" customHeight="1">
      <c r="A4" s="210"/>
    </row>
    <row r="5" spans="1:1" s="172" customFormat="1" ht="14.5">
      <c r="A5" s="172" t="s">
        <v>1</v>
      </c>
    </row>
    <row r="6" spans="1:1" s="22" customFormat="1" ht="54.75" customHeight="1">
      <c r="A6" s="22" t="s">
        <v>2</v>
      </c>
    </row>
    <row r="7" spans="1:1" s="22" customFormat="1" ht="51" customHeight="1">
      <c r="A7" s="22" t="s">
        <v>3</v>
      </c>
    </row>
    <row r="8" spans="1:1" s="22" customFormat="1" ht="41.25" customHeight="1">
      <c r="A8" s="22" t="s">
        <v>4</v>
      </c>
    </row>
    <row r="9" spans="1:1" s="22" customFormat="1"/>
    <row r="10" spans="1:1">
      <c r="A10" s="108" t="s">
        <v>5</v>
      </c>
    </row>
    <row r="11" spans="1:1" ht="28">
      <c r="A11" s="174" t="s">
        <v>6</v>
      </c>
    </row>
    <row r="12" spans="1:1" ht="28">
      <c r="A12" s="181" t="s">
        <v>7</v>
      </c>
    </row>
    <row r="13" spans="1:1">
      <c r="A13" s="175" t="s">
        <v>8</v>
      </c>
    </row>
    <row r="14" spans="1:1" ht="29.5" customHeight="1">
      <c r="A14" s="177" t="s">
        <v>9</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2D3FD-D443-4578-AB7D-6FF7237DB860}">
  <dimension ref="A1:C10"/>
  <sheetViews>
    <sheetView workbookViewId="0">
      <selection activeCell="C9" sqref="C9"/>
    </sheetView>
  </sheetViews>
  <sheetFormatPr defaultColWidth="8.7265625" defaultRowHeight="14"/>
  <cols>
    <col min="1" max="1" width="50.26953125" style="1" customWidth="1"/>
    <col min="2" max="2" width="24.7265625" style="1" customWidth="1"/>
    <col min="3" max="16384" width="8.7265625" style="1"/>
  </cols>
  <sheetData>
    <row r="1" spans="1:3">
      <c r="A1" s="1" t="s">
        <v>492</v>
      </c>
    </row>
    <row r="2" spans="1:3">
      <c r="A2" s="1" t="s">
        <v>493</v>
      </c>
    </row>
    <row r="4" spans="1:3" s="11" customFormat="1">
      <c r="A4" s="11" t="s">
        <v>494</v>
      </c>
      <c r="B4" s="11" t="s">
        <v>63</v>
      </c>
      <c r="C4" s="11" t="s">
        <v>495</v>
      </c>
    </row>
    <row r="5" spans="1:3">
      <c r="A5" s="1" t="s">
        <v>496</v>
      </c>
      <c r="B5" s="1" t="s">
        <v>497</v>
      </c>
      <c r="C5" s="1">
        <v>34</v>
      </c>
    </row>
    <row r="6" spans="1:3">
      <c r="A6" s="1" t="s">
        <v>498</v>
      </c>
      <c r="B6" s="1" t="s">
        <v>499</v>
      </c>
      <c r="C6" s="1">
        <v>88</v>
      </c>
    </row>
    <row r="7" spans="1:3">
      <c r="A7" s="1" t="s">
        <v>500</v>
      </c>
      <c r="B7" s="1" t="s">
        <v>501</v>
      </c>
      <c r="C7" s="1">
        <v>80</v>
      </c>
    </row>
    <row r="8" spans="1:3">
      <c r="A8" s="1" t="s">
        <v>502</v>
      </c>
      <c r="B8" s="1" t="s">
        <v>503</v>
      </c>
      <c r="C8" s="1" t="s">
        <v>24</v>
      </c>
    </row>
    <row r="9" spans="1:3">
      <c r="A9" s="1" t="s">
        <v>64</v>
      </c>
      <c r="B9" s="1" t="s">
        <v>504</v>
      </c>
      <c r="C9" s="1">
        <v>88</v>
      </c>
    </row>
    <row r="10" spans="1:3">
      <c r="A10" s="1" t="s">
        <v>505</v>
      </c>
      <c r="B10" s="1" t="s">
        <v>506</v>
      </c>
      <c r="C10" s="1">
        <v>63</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9A587-C5CE-4F3F-B7D0-CA4E3DCD7B91}">
  <sheetPr>
    <pageSetUpPr fitToPage="1"/>
  </sheetPr>
  <dimension ref="A1:L82"/>
  <sheetViews>
    <sheetView workbookViewId="0">
      <selection activeCell="J10" sqref="J10"/>
    </sheetView>
  </sheetViews>
  <sheetFormatPr defaultColWidth="9.26953125" defaultRowHeight="14.5"/>
  <cols>
    <col min="1" max="1" width="28.7265625" customWidth="1"/>
    <col min="2" max="12" width="8.453125" customWidth="1"/>
  </cols>
  <sheetData>
    <row r="1" spans="1:12">
      <c r="A1" s="24" t="s">
        <v>507</v>
      </c>
      <c r="B1" t="s">
        <v>508</v>
      </c>
      <c r="F1" t="s">
        <v>509</v>
      </c>
    </row>
    <row r="2" spans="1:12" ht="24" customHeight="1">
      <c r="A2" s="260" t="s">
        <v>510</v>
      </c>
      <c r="B2" s="261"/>
      <c r="C2" s="261"/>
      <c r="D2" s="261"/>
      <c r="E2" s="261"/>
      <c r="F2" s="261"/>
      <c r="G2" s="261"/>
      <c r="H2" s="261"/>
      <c r="I2" s="261"/>
      <c r="J2" s="261"/>
      <c r="K2" s="261"/>
      <c r="L2" s="261"/>
    </row>
    <row r="3" spans="1:12" s="27" customFormat="1" ht="69.75" customHeight="1">
      <c r="A3" s="25"/>
      <c r="B3" s="26" t="s">
        <v>511</v>
      </c>
      <c r="C3" s="262" t="s">
        <v>512</v>
      </c>
      <c r="D3" s="263"/>
      <c r="E3" s="263"/>
      <c r="F3" s="263"/>
      <c r="G3" s="264"/>
      <c r="H3" s="262" t="s">
        <v>513</v>
      </c>
      <c r="I3" s="263"/>
      <c r="J3" s="263"/>
      <c r="K3" s="263"/>
      <c r="L3" s="264"/>
    </row>
    <row r="4" spans="1:12" ht="46.5" customHeight="1" thickBot="1">
      <c r="A4" s="28"/>
      <c r="B4" s="29" t="s">
        <v>514</v>
      </c>
      <c r="C4" s="29" t="s">
        <v>194</v>
      </c>
      <c r="D4" s="29" t="s">
        <v>227</v>
      </c>
      <c r="E4" s="29" t="s">
        <v>228</v>
      </c>
      <c r="F4" s="29" t="s">
        <v>515</v>
      </c>
      <c r="G4" s="29" t="s">
        <v>516</v>
      </c>
      <c r="H4" s="29" t="s">
        <v>194</v>
      </c>
      <c r="I4" s="29" t="s">
        <v>227</v>
      </c>
      <c r="J4" s="29" t="s">
        <v>228</v>
      </c>
      <c r="K4" s="29" t="s">
        <v>515</v>
      </c>
      <c r="L4" s="29" t="s">
        <v>516</v>
      </c>
    </row>
    <row r="5" spans="1:12" ht="24" customHeight="1" thickTop="1">
      <c r="A5" s="30" t="s">
        <v>517</v>
      </c>
      <c r="B5" s="31">
        <v>26.4</v>
      </c>
      <c r="C5" s="32">
        <v>2486</v>
      </c>
      <c r="D5" s="32">
        <v>861</v>
      </c>
      <c r="E5" s="32">
        <v>1510</v>
      </c>
      <c r="F5" s="32">
        <v>107</v>
      </c>
      <c r="G5" s="32" t="s">
        <v>518</v>
      </c>
      <c r="H5" s="31">
        <v>94.3</v>
      </c>
      <c r="I5" s="31">
        <v>32.6</v>
      </c>
      <c r="J5" s="31">
        <v>76.8</v>
      </c>
      <c r="K5" s="31">
        <v>46.3</v>
      </c>
      <c r="L5" s="31">
        <v>39.4</v>
      </c>
    </row>
    <row r="6" spans="1:12" ht="24" customHeight="1">
      <c r="A6" s="30" t="s">
        <v>519</v>
      </c>
      <c r="B6" s="33" t="s">
        <v>520</v>
      </c>
      <c r="C6" s="34" t="s">
        <v>520</v>
      </c>
      <c r="D6" s="34" t="s">
        <v>520</v>
      </c>
      <c r="E6" s="34" t="s">
        <v>520</v>
      </c>
      <c r="F6" s="34" t="s">
        <v>520</v>
      </c>
      <c r="G6" s="34" t="s">
        <v>520</v>
      </c>
      <c r="H6" s="33" t="s">
        <v>520</v>
      </c>
      <c r="I6" s="33" t="s">
        <v>520</v>
      </c>
      <c r="J6" s="33" t="s">
        <v>520</v>
      </c>
      <c r="K6" s="33" t="s">
        <v>520</v>
      </c>
      <c r="L6" s="33" t="s">
        <v>520</v>
      </c>
    </row>
    <row r="7" spans="1:12">
      <c r="A7" s="35" t="s">
        <v>521</v>
      </c>
      <c r="B7" s="36">
        <v>18.100000000000001</v>
      </c>
      <c r="C7" s="37">
        <v>1755</v>
      </c>
      <c r="D7" s="37">
        <v>564</v>
      </c>
      <c r="E7" s="37">
        <v>1123</v>
      </c>
      <c r="F7" s="37">
        <v>64</v>
      </c>
      <c r="G7" s="37" t="s">
        <v>518</v>
      </c>
      <c r="H7" s="36">
        <v>97</v>
      </c>
      <c r="I7" s="36">
        <v>31.1</v>
      </c>
      <c r="J7" s="36">
        <v>81.099999999999994</v>
      </c>
      <c r="K7" s="36">
        <v>50.1</v>
      </c>
      <c r="L7" s="36" t="s">
        <v>518</v>
      </c>
    </row>
    <row r="8" spans="1:12" ht="15" customHeight="1">
      <c r="A8" s="35" t="s">
        <v>522</v>
      </c>
      <c r="B8" s="36">
        <v>8.3000000000000007</v>
      </c>
      <c r="C8" s="37">
        <v>731</v>
      </c>
      <c r="D8" s="37">
        <v>297</v>
      </c>
      <c r="E8" s="37">
        <v>387</v>
      </c>
      <c r="F8" s="37">
        <v>43</v>
      </c>
      <c r="G8" s="37" t="s">
        <v>518</v>
      </c>
      <c r="H8" s="36">
        <v>88.3</v>
      </c>
      <c r="I8" s="36">
        <v>35.9</v>
      </c>
      <c r="J8" s="36">
        <v>66.7</v>
      </c>
      <c r="K8" s="36">
        <v>41.6</v>
      </c>
      <c r="L8" s="36" t="s">
        <v>518</v>
      </c>
    </row>
    <row r="9" spans="1:12" ht="24" customHeight="1">
      <c r="A9" s="30" t="s">
        <v>523</v>
      </c>
      <c r="B9" s="33" t="s">
        <v>520</v>
      </c>
      <c r="C9" s="34" t="s">
        <v>520</v>
      </c>
      <c r="D9" s="34" t="s">
        <v>520</v>
      </c>
      <c r="E9" s="34" t="s">
        <v>520</v>
      </c>
      <c r="F9" s="34" t="s">
        <v>520</v>
      </c>
      <c r="G9" s="34" t="s">
        <v>520</v>
      </c>
      <c r="H9" s="33" t="s">
        <v>520</v>
      </c>
      <c r="I9" s="33" t="s">
        <v>520</v>
      </c>
      <c r="J9" s="33" t="s">
        <v>520</v>
      </c>
      <c r="K9" s="33" t="s">
        <v>520</v>
      </c>
      <c r="L9" s="33" t="s">
        <v>520</v>
      </c>
    </row>
    <row r="10" spans="1:12">
      <c r="A10" s="38" t="s">
        <v>330</v>
      </c>
      <c r="B10" s="36">
        <v>20.7</v>
      </c>
      <c r="C10" s="37">
        <v>1946</v>
      </c>
      <c r="D10" s="37">
        <v>597</v>
      </c>
      <c r="E10" s="37">
        <v>1331</v>
      </c>
      <c r="F10" s="37">
        <v>12</v>
      </c>
      <c r="G10" s="37" t="s">
        <v>518</v>
      </c>
      <c r="H10" s="36">
        <v>93.8</v>
      </c>
      <c r="I10" s="63">
        <v>28.8</v>
      </c>
      <c r="J10" s="63">
        <v>76.599999999999994</v>
      </c>
      <c r="K10" s="36">
        <v>31</v>
      </c>
      <c r="L10" s="36" t="s">
        <v>518</v>
      </c>
    </row>
    <row r="11" spans="1:12" s="40" customFormat="1">
      <c r="A11" s="39" t="s">
        <v>524</v>
      </c>
      <c r="B11" s="36">
        <v>17.2</v>
      </c>
      <c r="C11" s="37">
        <v>1631</v>
      </c>
      <c r="D11" s="37">
        <v>482</v>
      </c>
      <c r="E11" s="37">
        <v>1137</v>
      </c>
      <c r="F11" s="37">
        <v>7</v>
      </c>
      <c r="G11" s="37" t="s">
        <v>518</v>
      </c>
      <c r="H11" s="36">
        <v>94.9</v>
      </c>
      <c r="I11" s="36">
        <v>28</v>
      </c>
      <c r="J11" s="36">
        <v>79.5</v>
      </c>
      <c r="K11" s="36">
        <v>27.6</v>
      </c>
      <c r="L11" s="36" t="s">
        <v>518</v>
      </c>
    </row>
    <row r="12" spans="1:12" s="40" customFormat="1">
      <c r="A12" s="39" t="s">
        <v>525</v>
      </c>
      <c r="B12" s="36">
        <v>3.5</v>
      </c>
      <c r="C12" s="37">
        <v>314</v>
      </c>
      <c r="D12" s="37">
        <v>115</v>
      </c>
      <c r="E12" s="37">
        <v>193</v>
      </c>
      <c r="F12" s="37" t="s">
        <v>518</v>
      </c>
      <c r="G12" s="37" t="s">
        <v>518</v>
      </c>
      <c r="H12" s="36">
        <v>88.5</v>
      </c>
      <c r="I12" s="36">
        <v>32.5</v>
      </c>
      <c r="J12" s="36">
        <v>63.2</v>
      </c>
      <c r="K12" s="36" t="s">
        <v>518</v>
      </c>
      <c r="L12" s="36" t="s">
        <v>518</v>
      </c>
    </row>
    <row r="13" spans="1:12">
      <c r="A13" s="38" t="s">
        <v>329</v>
      </c>
      <c r="B13" s="36">
        <v>5.6</v>
      </c>
      <c r="C13" s="37">
        <v>540</v>
      </c>
      <c r="D13" s="37">
        <v>263</v>
      </c>
      <c r="E13" s="37">
        <v>179</v>
      </c>
      <c r="F13" s="37">
        <v>94</v>
      </c>
      <c r="G13" s="37" t="s">
        <v>518</v>
      </c>
      <c r="H13" s="36">
        <v>96.1</v>
      </c>
      <c r="I13" s="63">
        <v>46.8</v>
      </c>
      <c r="J13" s="36">
        <v>78.400000000000006</v>
      </c>
      <c r="K13" s="36">
        <v>49.4</v>
      </c>
      <c r="L13" s="36" t="s">
        <v>518</v>
      </c>
    </row>
    <row r="14" spans="1:12" ht="34.15" customHeight="1">
      <c r="A14" s="30" t="s">
        <v>526</v>
      </c>
      <c r="B14" s="33" t="s">
        <v>520</v>
      </c>
      <c r="C14" s="34" t="s">
        <v>520</v>
      </c>
      <c r="D14" s="34" t="s">
        <v>520</v>
      </c>
      <c r="E14" s="34" t="s">
        <v>520</v>
      </c>
      <c r="F14" s="34" t="s">
        <v>520</v>
      </c>
      <c r="G14" s="34" t="s">
        <v>520</v>
      </c>
      <c r="H14" s="33" t="s">
        <v>520</v>
      </c>
      <c r="I14" s="33" t="s">
        <v>520</v>
      </c>
      <c r="J14" s="33" t="s">
        <v>520</v>
      </c>
      <c r="K14" s="33" t="s">
        <v>520</v>
      </c>
      <c r="L14" s="33" t="s">
        <v>520</v>
      </c>
    </row>
    <row r="15" spans="1:12">
      <c r="A15" s="38" t="s">
        <v>527</v>
      </c>
      <c r="B15" s="36">
        <v>21.3</v>
      </c>
      <c r="C15" s="37">
        <v>2034</v>
      </c>
      <c r="D15" s="37">
        <v>648</v>
      </c>
      <c r="E15" s="37">
        <v>1313</v>
      </c>
      <c r="F15" s="37">
        <v>67</v>
      </c>
      <c r="G15" s="37" t="s">
        <v>518</v>
      </c>
      <c r="H15" s="36">
        <v>95.6</v>
      </c>
      <c r="I15" s="36">
        <v>30.5</v>
      </c>
      <c r="J15" s="36">
        <v>78.5</v>
      </c>
      <c r="K15" s="36">
        <v>49.4</v>
      </c>
      <c r="L15" s="36" t="s">
        <v>518</v>
      </c>
    </row>
    <row r="16" spans="1:12">
      <c r="A16" s="38" t="s">
        <v>528</v>
      </c>
      <c r="B16" s="36">
        <v>3.3</v>
      </c>
      <c r="C16" s="37">
        <v>297</v>
      </c>
      <c r="D16" s="37">
        <v>128</v>
      </c>
      <c r="E16" s="37">
        <v>150</v>
      </c>
      <c r="F16" s="37">
        <v>19</v>
      </c>
      <c r="G16" s="37" t="s">
        <v>518</v>
      </c>
      <c r="H16" s="36">
        <v>88.8</v>
      </c>
      <c r="I16" s="36">
        <v>38.4</v>
      </c>
      <c r="J16" s="36">
        <v>70</v>
      </c>
      <c r="K16" s="36">
        <v>41.3</v>
      </c>
      <c r="L16" s="36" t="s">
        <v>518</v>
      </c>
    </row>
    <row r="17" spans="1:12" ht="26.5">
      <c r="A17" s="38" t="s">
        <v>529</v>
      </c>
      <c r="B17" s="36">
        <v>1.8</v>
      </c>
      <c r="C17" s="37">
        <v>155</v>
      </c>
      <c r="D17" s="37">
        <v>85</v>
      </c>
      <c r="E17" s="37">
        <v>47</v>
      </c>
      <c r="F17" s="37">
        <v>21</v>
      </c>
      <c r="G17" s="37" t="s">
        <v>518</v>
      </c>
      <c r="H17" s="36">
        <v>88.2</v>
      </c>
      <c r="I17" s="36">
        <v>48.1</v>
      </c>
      <c r="J17" s="36">
        <v>60.5</v>
      </c>
      <c r="K17" s="36">
        <v>42.4</v>
      </c>
      <c r="L17" s="36" t="s">
        <v>518</v>
      </c>
    </row>
    <row r="18" spans="1:12" ht="24" customHeight="1">
      <c r="A18" s="30" t="s">
        <v>530</v>
      </c>
      <c r="B18" s="33" t="s">
        <v>520</v>
      </c>
      <c r="C18" s="34" t="s">
        <v>520</v>
      </c>
      <c r="D18" s="34" t="s">
        <v>520</v>
      </c>
      <c r="E18" s="34" t="s">
        <v>520</v>
      </c>
      <c r="F18" s="34" t="s">
        <v>520</v>
      </c>
      <c r="G18" s="34" t="s">
        <v>520</v>
      </c>
      <c r="H18" s="33" t="s">
        <v>520</v>
      </c>
      <c r="I18" s="33" t="s">
        <v>520</v>
      </c>
      <c r="J18" s="33" t="s">
        <v>520</v>
      </c>
      <c r="K18" s="33" t="s">
        <v>520</v>
      </c>
      <c r="L18" s="33" t="s">
        <v>520</v>
      </c>
    </row>
    <row r="19" spans="1:12">
      <c r="A19" s="38" t="s">
        <v>531</v>
      </c>
      <c r="B19" s="36">
        <v>21.2</v>
      </c>
      <c r="C19" s="37">
        <v>2019</v>
      </c>
      <c r="D19" s="37">
        <v>638</v>
      </c>
      <c r="E19" s="37">
        <v>1292</v>
      </c>
      <c r="F19" s="37">
        <v>80</v>
      </c>
      <c r="G19" s="37" t="s">
        <v>518</v>
      </c>
      <c r="H19" s="36">
        <v>95.2</v>
      </c>
      <c r="I19" s="36">
        <v>30.1</v>
      </c>
      <c r="J19" s="36">
        <v>78.8</v>
      </c>
      <c r="K19" s="36">
        <v>46.9</v>
      </c>
      <c r="L19" s="36" t="s">
        <v>518</v>
      </c>
    </row>
    <row r="20" spans="1:12">
      <c r="A20" s="38" t="s">
        <v>532</v>
      </c>
      <c r="B20" s="36">
        <v>5.2</v>
      </c>
      <c r="C20" s="37">
        <v>467</v>
      </c>
      <c r="D20" s="37">
        <v>223</v>
      </c>
      <c r="E20" s="37">
        <v>218</v>
      </c>
      <c r="F20" s="37">
        <v>26</v>
      </c>
      <c r="G20" s="37" t="s">
        <v>518</v>
      </c>
      <c r="H20" s="36">
        <v>90.4</v>
      </c>
      <c r="I20" s="36">
        <v>43.1</v>
      </c>
      <c r="J20" s="36">
        <v>66.7</v>
      </c>
      <c r="K20" s="36">
        <v>44.5</v>
      </c>
      <c r="L20" s="36" t="s">
        <v>518</v>
      </c>
    </row>
    <row r="21" spans="1:12">
      <c r="A21" s="38" t="s">
        <v>533</v>
      </c>
      <c r="B21" s="36" t="s">
        <v>534</v>
      </c>
      <c r="C21" s="37" t="s">
        <v>534</v>
      </c>
      <c r="D21" s="37" t="s">
        <v>534</v>
      </c>
      <c r="E21" s="37" t="s">
        <v>534</v>
      </c>
      <c r="F21" s="37" t="s">
        <v>534</v>
      </c>
      <c r="G21" s="37" t="s">
        <v>534</v>
      </c>
      <c r="H21" s="36" t="s">
        <v>534</v>
      </c>
      <c r="I21" s="36" t="s">
        <v>534</v>
      </c>
      <c r="J21" s="36" t="s">
        <v>534</v>
      </c>
      <c r="K21" s="36" t="s">
        <v>534</v>
      </c>
      <c r="L21" s="36" t="s">
        <v>534</v>
      </c>
    </row>
    <row r="22" spans="1:12">
      <c r="A22" s="38" t="s">
        <v>535</v>
      </c>
      <c r="B22" s="36" t="s">
        <v>534</v>
      </c>
      <c r="C22" s="37" t="s">
        <v>534</v>
      </c>
      <c r="D22" s="37" t="s">
        <v>534</v>
      </c>
      <c r="E22" s="37" t="s">
        <v>534</v>
      </c>
      <c r="F22" s="37" t="s">
        <v>534</v>
      </c>
      <c r="G22" s="37" t="s">
        <v>534</v>
      </c>
      <c r="H22" s="36" t="s">
        <v>534</v>
      </c>
      <c r="I22" s="36" t="s">
        <v>534</v>
      </c>
      <c r="J22" s="36" t="s">
        <v>534</v>
      </c>
      <c r="K22" s="36" t="s">
        <v>534</v>
      </c>
      <c r="L22" s="36" t="s">
        <v>534</v>
      </c>
    </row>
    <row r="23" spans="1:12">
      <c r="A23" s="38" t="s">
        <v>536</v>
      </c>
      <c r="B23" s="36" t="s">
        <v>534</v>
      </c>
      <c r="C23" s="37" t="s">
        <v>534</v>
      </c>
      <c r="D23" s="37" t="s">
        <v>534</v>
      </c>
      <c r="E23" s="37" t="s">
        <v>534</v>
      </c>
      <c r="F23" s="37" t="s">
        <v>534</v>
      </c>
      <c r="G23" s="37" t="s">
        <v>534</v>
      </c>
      <c r="H23" s="36" t="s">
        <v>534</v>
      </c>
      <c r="I23" s="36" t="s">
        <v>534</v>
      </c>
      <c r="J23" s="36" t="s">
        <v>534</v>
      </c>
      <c r="K23" s="36" t="s">
        <v>534</v>
      </c>
      <c r="L23" s="36" t="s">
        <v>534</v>
      </c>
    </row>
    <row r="24" spans="1:12" ht="24" customHeight="1">
      <c r="A24" s="30" t="s">
        <v>537</v>
      </c>
      <c r="B24" s="33" t="s">
        <v>520</v>
      </c>
      <c r="C24" s="34" t="s">
        <v>520</v>
      </c>
      <c r="D24" s="34" t="s">
        <v>520</v>
      </c>
      <c r="E24" s="34" t="s">
        <v>520</v>
      </c>
      <c r="F24" s="34" t="s">
        <v>520</v>
      </c>
      <c r="G24" s="34" t="s">
        <v>520</v>
      </c>
      <c r="H24" s="33" t="s">
        <v>520</v>
      </c>
      <c r="I24" s="33" t="s">
        <v>520</v>
      </c>
      <c r="J24" s="33" t="s">
        <v>520</v>
      </c>
      <c r="K24" s="33" t="s">
        <v>520</v>
      </c>
      <c r="L24" s="33" t="s">
        <v>520</v>
      </c>
    </row>
    <row r="25" spans="1:12">
      <c r="A25" s="38" t="s">
        <v>538</v>
      </c>
      <c r="B25" s="36">
        <v>18.2</v>
      </c>
      <c r="C25" s="37">
        <v>2048</v>
      </c>
      <c r="D25" s="37">
        <v>666</v>
      </c>
      <c r="E25" s="37">
        <v>1272</v>
      </c>
      <c r="F25" s="37">
        <v>101</v>
      </c>
      <c r="G25" s="37" t="s">
        <v>518</v>
      </c>
      <c r="H25" s="36">
        <v>112.8</v>
      </c>
      <c r="I25" s="36">
        <v>36.700000000000003</v>
      </c>
      <c r="J25" s="36">
        <v>87.7</v>
      </c>
      <c r="K25" s="36">
        <v>49.5</v>
      </c>
      <c r="L25" s="36" t="s">
        <v>518</v>
      </c>
    </row>
    <row r="26" spans="1:12">
      <c r="A26" s="38" t="s">
        <v>539</v>
      </c>
      <c r="B26" s="36">
        <v>1.3</v>
      </c>
      <c r="C26" s="37">
        <v>110</v>
      </c>
      <c r="D26" s="37">
        <v>35</v>
      </c>
      <c r="E26" s="37">
        <v>75</v>
      </c>
      <c r="F26" s="37" t="s">
        <v>534</v>
      </c>
      <c r="G26" s="37" t="s">
        <v>534</v>
      </c>
      <c r="H26" s="36">
        <v>85.8</v>
      </c>
      <c r="I26" s="36">
        <v>27.4</v>
      </c>
      <c r="J26" s="36">
        <v>71</v>
      </c>
      <c r="K26" s="36" t="s">
        <v>534</v>
      </c>
      <c r="L26" s="36" t="s">
        <v>534</v>
      </c>
    </row>
    <row r="27" spans="1:12" ht="26.5">
      <c r="A27" s="38" t="s">
        <v>540</v>
      </c>
      <c r="B27" s="36">
        <v>2</v>
      </c>
      <c r="C27" s="37">
        <v>110</v>
      </c>
      <c r="D27" s="37">
        <v>41</v>
      </c>
      <c r="E27" s="37">
        <v>67</v>
      </c>
      <c r="F27" s="37" t="s">
        <v>518</v>
      </c>
      <c r="G27" s="37" t="s">
        <v>534</v>
      </c>
      <c r="H27" s="36">
        <v>55.9</v>
      </c>
      <c r="I27" s="36">
        <v>21</v>
      </c>
      <c r="J27" s="36">
        <v>51.7</v>
      </c>
      <c r="K27" s="36" t="s">
        <v>518</v>
      </c>
      <c r="L27" s="36" t="s">
        <v>534</v>
      </c>
    </row>
    <row r="28" spans="1:12" ht="26.5">
      <c r="A28" s="38" t="s">
        <v>541</v>
      </c>
      <c r="B28" s="36">
        <v>4</v>
      </c>
      <c r="C28" s="37">
        <v>147</v>
      </c>
      <c r="D28" s="37">
        <v>75</v>
      </c>
      <c r="E28" s="37">
        <v>70</v>
      </c>
      <c r="F28" s="37" t="s">
        <v>518</v>
      </c>
      <c r="G28" s="37" t="s">
        <v>518</v>
      </c>
      <c r="H28" s="36">
        <v>36.799999999999997</v>
      </c>
      <c r="I28" s="36">
        <v>18.899999999999999</v>
      </c>
      <c r="J28" s="36">
        <v>29.1</v>
      </c>
      <c r="K28" s="36" t="s">
        <v>518</v>
      </c>
      <c r="L28" s="36" t="s">
        <v>518</v>
      </c>
    </row>
    <row r="29" spans="1:12">
      <c r="A29" s="38" t="s">
        <v>542</v>
      </c>
      <c r="B29" s="36">
        <v>1</v>
      </c>
      <c r="C29" s="37">
        <v>72</v>
      </c>
      <c r="D29" s="37">
        <v>43</v>
      </c>
      <c r="E29" s="37">
        <v>26</v>
      </c>
      <c r="F29" s="37" t="s">
        <v>518</v>
      </c>
      <c r="G29" s="37" t="s">
        <v>518</v>
      </c>
      <c r="H29" s="36">
        <v>73.400000000000006</v>
      </c>
      <c r="I29" s="36">
        <v>43.7</v>
      </c>
      <c r="J29" s="36">
        <v>65.5</v>
      </c>
      <c r="K29" s="36" t="s">
        <v>518</v>
      </c>
      <c r="L29" s="36" t="s">
        <v>518</v>
      </c>
    </row>
    <row r="30" spans="1:12" ht="24" customHeight="1">
      <c r="A30" s="30" t="s">
        <v>543</v>
      </c>
      <c r="B30" s="33" t="s">
        <v>520</v>
      </c>
      <c r="C30" s="34" t="s">
        <v>520</v>
      </c>
      <c r="D30" s="34" t="s">
        <v>520</v>
      </c>
      <c r="E30" s="34" t="s">
        <v>520</v>
      </c>
      <c r="F30" s="34" t="s">
        <v>520</v>
      </c>
      <c r="G30" s="34" t="s">
        <v>520</v>
      </c>
      <c r="H30" s="33" t="s">
        <v>520</v>
      </c>
      <c r="I30" s="33" t="s">
        <v>520</v>
      </c>
      <c r="J30" s="33" t="s">
        <v>520</v>
      </c>
      <c r="K30" s="33" t="s">
        <v>520</v>
      </c>
      <c r="L30" s="33" t="s">
        <v>520</v>
      </c>
    </row>
    <row r="31" spans="1:12">
      <c r="A31" s="38" t="s">
        <v>544</v>
      </c>
      <c r="B31" s="36">
        <v>17.8</v>
      </c>
      <c r="C31" s="37">
        <v>1944</v>
      </c>
      <c r="D31" s="37">
        <v>653</v>
      </c>
      <c r="E31" s="37">
        <v>1187</v>
      </c>
      <c r="F31" s="37">
        <v>98</v>
      </c>
      <c r="G31" s="37" t="s">
        <v>518</v>
      </c>
      <c r="H31" s="36">
        <v>109.5</v>
      </c>
      <c r="I31" s="36">
        <v>36.799999999999997</v>
      </c>
      <c r="J31" s="36">
        <v>85.7</v>
      </c>
      <c r="K31" s="36">
        <v>48.6</v>
      </c>
      <c r="L31" s="36" t="s">
        <v>518</v>
      </c>
    </row>
    <row r="32" spans="1:12">
      <c r="A32" s="39" t="s">
        <v>545</v>
      </c>
      <c r="B32" s="36">
        <v>16.399999999999999</v>
      </c>
      <c r="C32" s="37">
        <v>1852</v>
      </c>
      <c r="D32" s="37">
        <v>609</v>
      </c>
      <c r="E32" s="37">
        <v>1141</v>
      </c>
      <c r="F32" s="37">
        <v>97</v>
      </c>
      <c r="G32" s="37" t="s">
        <v>518</v>
      </c>
      <c r="H32" s="36">
        <v>112.7</v>
      </c>
      <c r="I32" s="36">
        <v>37.1</v>
      </c>
      <c r="J32" s="36">
        <v>87.5</v>
      </c>
      <c r="K32" s="36">
        <v>50.9</v>
      </c>
      <c r="L32" s="36" t="s">
        <v>518</v>
      </c>
    </row>
    <row r="33" spans="1:12">
      <c r="A33" s="39" t="s">
        <v>546</v>
      </c>
      <c r="B33" s="36">
        <v>0.6</v>
      </c>
      <c r="C33" s="37">
        <v>35</v>
      </c>
      <c r="D33" s="37">
        <v>12</v>
      </c>
      <c r="E33" s="37">
        <v>23</v>
      </c>
      <c r="F33" s="37" t="s">
        <v>534</v>
      </c>
      <c r="G33" s="37" t="s">
        <v>534</v>
      </c>
      <c r="H33" s="36">
        <v>61.7</v>
      </c>
      <c r="I33" s="36">
        <v>21.8</v>
      </c>
      <c r="J33" s="36">
        <v>50</v>
      </c>
      <c r="K33" s="36" t="s">
        <v>534</v>
      </c>
      <c r="L33" s="36" t="s">
        <v>534</v>
      </c>
    </row>
    <row r="34" spans="1:12">
      <c r="A34" s="39" t="s">
        <v>542</v>
      </c>
      <c r="B34" s="36">
        <v>0.8</v>
      </c>
      <c r="C34" s="37">
        <v>56</v>
      </c>
      <c r="D34" s="37">
        <v>31</v>
      </c>
      <c r="E34" s="37">
        <v>24</v>
      </c>
      <c r="F34" s="37" t="s">
        <v>518</v>
      </c>
      <c r="G34" s="37" t="s">
        <v>518</v>
      </c>
      <c r="H34" s="36">
        <v>74.5</v>
      </c>
      <c r="I34" s="36">
        <v>41</v>
      </c>
      <c r="J34" s="36">
        <v>64.400000000000006</v>
      </c>
      <c r="K34" s="36" t="s">
        <v>518</v>
      </c>
      <c r="L34" s="36" t="s">
        <v>518</v>
      </c>
    </row>
    <row r="35" spans="1:12" ht="15">
      <c r="A35" s="38" t="s">
        <v>547</v>
      </c>
      <c r="B35" s="36">
        <v>8.6</v>
      </c>
      <c r="C35" s="37">
        <v>542</v>
      </c>
      <c r="D35" s="37">
        <v>208</v>
      </c>
      <c r="E35" s="37">
        <v>323</v>
      </c>
      <c r="F35" s="37">
        <v>9</v>
      </c>
      <c r="G35" s="37" t="s">
        <v>518</v>
      </c>
      <c r="H35" s="36">
        <v>62.9</v>
      </c>
      <c r="I35" s="36">
        <v>24.2</v>
      </c>
      <c r="J35" s="36">
        <v>55.7</v>
      </c>
      <c r="K35" s="36">
        <v>30.4</v>
      </c>
      <c r="L35" s="36" t="s">
        <v>518</v>
      </c>
    </row>
    <row r="36" spans="1:12">
      <c r="A36" s="39" t="s">
        <v>545</v>
      </c>
      <c r="B36" s="36">
        <v>3</v>
      </c>
      <c r="C36" s="37">
        <v>305</v>
      </c>
      <c r="D36" s="37">
        <v>92</v>
      </c>
      <c r="E36" s="37">
        <v>206</v>
      </c>
      <c r="F36" s="37" t="s">
        <v>518</v>
      </c>
      <c r="G36" s="37" t="s">
        <v>518</v>
      </c>
      <c r="H36" s="36">
        <v>101.5</v>
      </c>
      <c r="I36" s="36">
        <v>30.6</v>
      </c>
      <c r="J36" s="36">
        <v>82</v>
      </c>
      <c r="K36" s="36" t="s">
        <v>518</v>
      </c>
      <c r="L36" s="36" t="s">
        <v>518</v>
      </c>
    </row>
    <row r="37" spans="1:12">
      <c r="A37" s="39" t="s">
        <v>546</v>
      </c>
      <c r="B37" s="36">
        <v>5.4</v>
      </c>
      <c r="C37" s="37">
        <v>221</v>
      </c>
      <c r="D37" s="37">
        <v>104</v>
      </c>
      <c r="E37" s="37">
        <v>115</v>
      </c>
      <c r="F37" s="37" t="s">
        <v>518</v>
      </c>
      <c r="G37" s="37" t="s">
        <v>518</v>
      </c>
      <c r="H37" s="36">
        <v>41.1</v>
      </c>
      <c r="I37" s="36">
        <v>19.3</v>
      </c>
      <c r="J37" s="36">
        <v>35.200000000000003</v>
      </c>
      <c r="K37" s="36" t="s">
        <v>518</v>
      </c>
      <c r="L37" s="36" t="s">
        <v>518</v>
      </c>
    </row>
    <row r="38" spans="1:12">
      <c r="A38" s="39" t="s">
        <v>542</v>
      </c>
      <c r="B38" s="36" t="s">
        <v>518</v>
      </c>
      <c r="C38" s="37" t="s">
        <v>518</v>
      </c>
      <c r="D38" s="37" t="s">
        <v>518</v>
      </c>
      <c r="E38" s="37" t="s">
        <v>518</v>
      </c>
      <c r="F38" s="37" t="s">
        <v>518</v>
      </c>
      <c r="G38" s="37" t="s">
        <v>534</v>
      </c>
      <c r="H38" s="36" t="s">
        <v>518</v>
      </c>
      <c r="I38" s="36" t="s">
        <v>518</v>
      </c>
      <c r="J38" s="36" t="s">
        <v>518</v>
      </c>
      <c r="K38" s="36" t="s">
        <v>518</v>
      </c>
      <c r="L38" s="36" t="s">
        <v>534</v>
      </c>
    </row>
    <row r="39" spans="1:12" ht="24" customHeight="1">
      <c r="A39" s="30" t="s">
        <v>548</v>
      </c>
      <c r="B39" s="33" t="s">
        <v>520</v>
      </c>
      <c r="C39" s="34" t="s">
        <v>520</v>
      </c>
      <c r="D39" s="34" t="s">
        <v>520</v>
      </c>
      <c r="E39" s="34" t="s">
        <v>520</v>
      </c>
      <c r="F39" s="34" t="s">
        <v>520</v>
      </c>
      <c r="G39" s="34" t="s">
        <v>520</v>
      </c>
      <c r="H39" s="33" t="s">
        <v>520</v>
      </c>
      <c r="I39" s="33" t="s">
        <v>520</v>
      </c>
      <c r="J39" s="33" t="s">
        <v>520</v>
      </c>
      <c r="K39" s="33" t="s">
        <v>520</v>
      </c>
      <c r="L39" s="33" t="s">
        <v>520</v>
      </c>
    </row>
    <row r="40" spans="1:12">
      <c r="A40" s="38" t="s">
        <v>549</v>
      </c>
      <c r="B40" s="36">
        <v>6.2</v>
      </c>
      <c r="C40" s="37">
        <v>653</v>
      </c>
      <c r="D40" s="37">
        <v>193</v>
      </c>
      <c r="E40" s="37">
        <v>426</v>
      </c>
      <c r="F40" s="37">
        <v>28</v>
      </c>
      <c r="G40" s="37" t="s">
        <v>518</v>
      </c>
      <c r="H40" s="36">
        <v>104.9</v>
      </c>
      <c r="I40" s="36">
        <v>31.1</v>
      </c>
      <c r="J40" s="36">
        <v>80.2</v>
      </c>
      <c r="K40" s="36">
        <v>46.1</v>
      </c>
      <c r="L40" s="36" t="s">
        <v>518</v>
      </c>
    </row>
    <row r="41" spans="1:12">
      <c r="A41" s="38" t="s">
        <v>550</v>
      </c>
      <c r="B41" s="36">
        <v>3.3</v>
      </c>
      <c r="C41" s="37">
        <v>326</v>
      </c>
      <c r="D41" s="37">
        <v>91</v>
      </c>
      <c r="E41" s="37">
        <v>229</v>
      </c>
      <c r="F41" s="37" t="s">
        <v>518</v>
      </c>
      <c r="G41" s="37" t="s">
        <v>518</v>
      </c>
      <c r="H41" s="36">
        <v>99.7</v>
      </c>
      <c r="I41" s="36">
        <v>27.7</v>
      </c>
      <c r="J41" s="36">
        <v>78.7</v>
      </c>
      <c r="K41" s="36" t="s">
        <v>518</v>
      </c>
      <c r="L41" s="36" t="s">
        <v>518</v>
      </c>
    </row>
    <row r="42" spans="1:12">
      <c r="A42" s="38" t="s">
        <v>551</v>
      </c>
      <c r="B42" s="36">
        <v>3</v>
      </c>
      <c r="C42" s="37">
        <v>257</v>
      </c>
      <c r="D42" s="37">
        <v>83</v>
      </c>
      <c r="E42" s="37">
        <v>168</v>
      </c>
      <c r="F42" s="37">
        <v>4</v>
      </c>
      <c r="G42" s="37" t="s">
        <v>518</v>
      </c>
      <c r="H42" s="36">
        <v>86.2</v>
      </c>
      <c r="I42" s="36">
        <v>27.7</v>
      </c>
      <c r="J42" s="36">
        <v>72.599999999999994</v>
      </c>
      <c r="K42" s="36">
        <v>21.7</v>
      </c>
      <c r="L42" s="36" t="s">
        <v>518</v>
      </c>
    </row>
    <row r="43" spans="1:12">
      <c r="A43" s="38" t="s">
        <v>552</v>
      </c>
      <c r="B43" s="36">
        <v>4</v>
      </c>
      <c r="C43" s="37">
        <v>353</v>
      </c>
      <c r="D43" s="37">
        <v>129</v>
      </c>
      <c r="E43" s="37">
        <v>206</v>
      </c>
      <c r="F43" s="37">
        <v>18</v>
      </c>
      <c r="G43" s="37" t="s">
        <v>518</v>
      </c>
      <c r="H43" s="36">
        <v>89.2</v>
      </c>
      <c r="I43" s="36">
        <v>32.5</v>
      </c>
      <c r="J43" s="36">
        <v>74.8</v>
      </c>
      <c r="K43" s="36">
        <v>62.3</v>
      </c>
      <c r="L43" s="36" t="s">
        <v>518</v>
      </c>
    </row>
    <row r="44" spans="1:12">
      <c r="A44" s="38" t="s">
        <v>553</v>
      </c>
      <c r="B44" s="36">
        <v>2.7</v>
      </c>
      <c r="C44" s="37">
        <v>229</v>
      </c>
      <c r="D44" s="37">
        <v>95</v>
      </c>
      <c r="E44" s="37">
        <v>125</v>
      </c>
      <c r="F44" s="37">
        <v>9</v>
      </c>
      <c r="G44" s="37" t="s">
        <v>518</v>
      </c>
      <c r="H44" s="36">
        <v>85.1</v>
      </c>
      <c r="I44" s="36">
        <v>35.1</v>
      </c>
      <c r="J44" s="36">
        <v>75.400000000000006</v>
      </c>
      <c r="K44" s="36">
        <v>45.6</v>
      </c>
      <c r="L44" s="36" t="s">
        <v>518</v>
      </c>
    </row>
    <row r="45" spans="1:12">
      <c r="A45" s="38" t="s">
        <v>554</v>
      </c>
      <c r="B45" s="36">
        <v>3.5</v>
      </c>
      <c r="C45" s="37">
        <v>332</v>
      </c>
      <c r="D45" s="37">
        <v>130</v>
      </c>
      <c r="E45" s="37">
        <v>177</v>
      </c>
      <c r="F45" s="37">
        <v>24</v>
      </c>
      <c r="G45" s="37" t="s">
        <v>534</v>
      </c>
      <c r="H45" s="36">
        <v>95.2</v>
      </c>
      <c r="I45" s="36">
        <v>37.5</v>
      </c>
      <c r="J45" s="36">
        <v>79.7</v>
      </c>
      <c r="K45" s="36">
        <v>44.9</v>
      </c>
      <c r="L45" s="36" t="s">
        <v>534</v>
      </c>
    </row>
    <row r="46" spans="1:12">
      <c r="A46" s="38" t="s">
        <v>555</v>
      </c>
      <c r="B46" s="36">
        <v>3.1</v>
      </c>
      <c r="C46" s="37">
        <v>287</v>
      </c>
      <c r="D46" s="37">
        <v>115</v>
      </c>
      <c r="E46" s="37">
        <v>160</v>
      </c>
      <c r="F46" s="37">
        <v>12</v>
      </c>
      <c r="G46" s="37" t="s">
        <v>518</v>
      </c>
      <c r="H46" s="36">
        <v>91.8</v>
      </c>
      <c r="I46" s="36">
        <v>36.9</v>
      </c>
      <c r="J46" s="36">
        <v>74</v>
      </c>
      <c r="K46" s="36">
        <v>56.8</v>
      </c>
      <c r="L46" s="36" t="s">
        <v>518</v>
      </c>
    </row>
    <row r="47" spans="1:12">
      <c r="A47" s="38" t="s">
        <v>556</v>
      </c>
      <c r="B47" s="36">
        <v>0.6</v>
      </c>
      <c r="C47" s="37">
        <v>48</v>
      </c>
      <c r="D47" s="37">
        <v>25</v>
      </c>
      <c r="E47" s="37">
        <v>20</v>
      </c>
      <c r="F47" s="37" t="s">
        <v>518</v>
      </c>
      <c r="G47" s="37" t="s">
        <v>534</v>
      </c>
      <c r="H47" s="36">
        <v>77.099999999999994</v>
      </c>
      <c r="I47" s="36">
        <v>39.700000000000003</v>
      </c>
      <c r="J47" s="36">
        <v>60.6</v>
      </c>
      <c r="K47" s="36" t="s">
        <v>518</v>
      </c>
      <c r="L47" s="36" t="s">
        <v>534</v>
      </c>
    </row>
    <row r="48" spans="1:12" ht="24" customHeight="1">
      <c r="A48" s="30" t="s">
        <v>557</v>
      </c>
      <c r="B48" s="33" t="s">
        <v>520</v>
      </c>
      <c r="C48" s="34" t="s">
        <v>520</v>
      </c>
      <c r="D48" s="34" t="s">
        <v>520</v>
      </c>
      <c r="E48" s="34" t="s">
        <v>520</v>
      </c>
      <c r="F48" s="34" t="s">
        <v>520</v>
      </c>
      <c r="G48" s="34" t="s">
        <v>520</v>
      </c>
      <c r="H48" s="33" t="s">
        <v>520</v>
      </c>
      <c r="I48" s="33" t="s">
        <v>520</v>
      </c>
      <c r="J48" s="33" t="s">
        <v>520</v>
      </c>
      <c r="K48" s="33" t="s">
        <v>520</v>
      </c>
      <c r="L48" s="33" t="s">
        <v>520</v>
      </c>
    </row>
    <row r="49" spans="1:12">
      <c r="A49" s="38" t="s">
        <v>558</v>
      </c>
      <c r="B49" s="36">
        <v>5.0999999999999996</v>
      </c>
      <c r="C49" s="37">
        <v>239</v>
      </c>
      <c r="D49" s="37">
        <v>102</v>
      </c>
      <c r="E49" s="37">
        <v>131</v>
      </c>
      <c r="F49" s="37" t="s">
        <v>518</v>
      </c>
      <c r="G49" s="37" t="s">
        <v>518</v>
      </c>
      <c r="H49" s="36">
        <v>46.5</v>
      </c>
      <c r="I49" s="36">
        <v>19.8</v>
      </c>
      <c r="J49" s="36">
        <v>39.6</v>
      </c>
      <c r="K49" s="36" t="s">
        <v>518</v>
      </c>
      <c r="L49" s="36" t="s">
        <v>518</v>
      </c>
    </row>
    <row r="50" spans="1:12">
      <c r="A50" s="35" t="s">
        <v>559</v>
      </c>
      <c r="B50" s="36">
        <v>4</v>
      </c>
      <c r="C50" s="37">
        <v>273</v>
      </c>
      <c r="D50" s="37">
        <v>121</v>
      </c>
      <c r="E50" s="37">
        <v>146</v>
      </c>
      <c r="F50" s="37">
        <v>5</v>
      </c>
      <c r="G50" s="37" t="s">
        <v>518</v>
      </c>
      <c r="H50" s="36">
        <v>67.400000000000006</v>
      </c>
      <c r="I50" s="36">
        <v>29.9</v>
      </c>
      <c r="J50" s="36">
        <v>58.6</v>
      </c>
      <c r="K50" s="36">
        <v>22.7</v>
      </c>
      <c r="L50" s="36" t="s">
        <v>518</v>
      </c>
    </row>
    <row r="51" spans="1:12">
      <c r="A51" s="35" t="s">
        <v>560</v>
      </c>
      <c r="B51" s="36">
        <v>3.4</v>
      </c>
      <c r="C51" s="37">
        <v>338</v>
      </c>
      <c r="D51" s="37">
        <v>118</v>
      </c>
      <c r="E51" s="37">
        <v>206</v>
      </c>
      <c r="F51" s="37">
        <v>13</v>
      </c>
      <c r="G51" s="37" t="s">
        <v>534</v>
      </c>
      <c r="H51" s="36">
        <v>98.4</v>
      </c>
      <c r="I51" s="36">
        <v>34.4</v>
      </c>
      <c r="J51" s="36">
        <v>75.5</v>
      </c>
      <c r="K51" s="36">
        <v>38.9</v>
      </c>
      <c r="L51" s="36" t="s">
        <v>534</v>
      </c>
    </row>
    <row r="52" spans="1:12">
      <c r="A52" s="38" t="s">
        <v>561</v>
      </c>
      <c r="B52" s="36">
        <v>3.7</v>
      </c>
      <c r="C52" s="37">
        <v>397</v>
      </c>
      <c r="D52" s="37">
        <v>121</v>
      </c>
      <c r="E52" s="37">
        <v>250</v>
      </c>
      <c r="F52" s="37">
        <v>26</v>
      </c>
      <c r="G52" s="37" t="s">
        <v>518</v>
      </c>
      <c r="H52" s="36">
        <v>107.6</v>
      </c>
      <c r="I52" s="36">
        <v>32.799999999999997</v>
      </c>
      <c r="J52" s="36">
        <v>84.8</v>
      </c>
      <c r="K52" s="36">
        <v>57.4</v>
      </c>
      <c r="L52" s="36" t="s">
        <v>518</v>
      </c>
    </row>
    <row r="53" spans="1:12">
      <c r="A53" s="38" t="s">
        <v>562</v>
      </c>
      <c r="B53" s="36">
        <v>3.1</v>
      </c>
      <c r="C53" s="37">
        <v>340</v>
      </c>
      <c r="D53" s="37">
        <v>110</v>
      </c>
      <c r="E53" s="37">
        <v>211</v>
      </c>
      <c r="F53" s="37">
        <v>13</v>
      </c>
      <c r="G53" s="37" t="s">
        <v>518</v>
      </c>
      <c r="H53" s="36">
        <v>109.2</v>
      </c>
      <c r="I53" s="36">
        <v>35.4</v>
      </c>
      <c r="J53" s="36">
        <v>84.3</v>
      </c>
      <c r="K53" s="36">
        <v>47.9</v>
      </c>
      <c r="L53" s="36" t="s">
        <v>518</v>
      </c>
    </row>
    <row r="54" spans="1:12">
      <c r="A54" s="35" t="s">
        <v>563</v>
      </c>
      <c r="B54" s="36">
        <v>6.9</v>
      </c>
      <c r="C54" s="37">
        <v>899</v>
      </c>
      <c r="D54" s="37">
        <v>289</v>
      </c>
      <c r="E54" s="37">
        <v>566</v>
      </c>
      <c r="F54" s="37">
        <v>44</v>
      </c>
      <c r="G54" s="37" t="s">
        <v>518</v>
      </c>
      <c r="H54" s="36">
        <v>129.5</v>
      </c>
      <c r="I54" s="36">
        <v>41.6</v>
      </c>
      <c r="J54" s="36">
        <v>99.8</v>
      </c>
      <c r="K54" s="36">
        <v>50.3</v>
      </c>
      <c r="L54" s="36" t="s">
        <v>518</v>
      </c>
    </row>
    <row r="55" spans="1:12" ht="24" customHeight="1">
      <c r="A55" s="30" t="s">
        <v>564</v>
      </c>
      <c r="B55" s="33" t="s">
        <v>520</v>
      </c>
      <c r="C55" s="34" t="s">
        <v>520</v>
      </c>
      <c r="D55" s="34" t="s">
        <v>520</v>
      </c>
      <c r="E55" s="34" t="s">
        <v>520</v>
      </c>
      <c r="F55" s="34" t="s">
        <v>520</v>
      </c>
      <c r="G55" s="34" t="s">
        <v>520</v>
      </c>
      <c r="H55" s="33" t="s">
        <v>520</v>
      </c>
      <c r="I55" s="33" t="s">
        <v>520</v>
      </c>
      <c r="J55" s="33" t="s">
        <v>520</v>
      </c>
      <c r="K55" s="33" t="s">
        <v>520</v>
      </c>
      <c r="L55" s="33" t="s">
        <v>520</v>
      </c>
    </row>
    <row r="56" spans="1:12">
      <c r="A56" s="38" t="s">
        <v>565</v>
      </c>
      <c r="B56" s="36">
        <v>6.9</v>
      </c>
      <c r="C56" s="37">
        <v>485</v>
      </c>
      <c r="D56" s="37">
        <v>154</v>
      </c>
      <c r="E56" s="37">
        <v>322</v>
      </c>
      <c r="F56" s="37">
        <v>9</v>
      </c>
      <c r="G56" s="37" t="s">
        <v>518</v>
      </c>
      <c r="H56" s="36">
        <v>70.8</v>
      </c>
      <c r="I56" s="36">
        <v>22.4</v>
      </c>
      <c r="J56" s="36">
        <v>62</v>
      </c>
      <c r="K56" s="36">
        <v>28.9</v>
      </c>
      <c r="L56" s="36" t="s">
        <v>518</v>
      </c>
    </row>
    <row r="57" spans="1:12">
      <c r="A57" s="35" t="s">
        <v>566</v>
      </c>
      <c r="B57" s="36">
        <v>9.6999999999999993</v>
      </c>
      <c r="C57" s="37">
        <v>912</v>
      </c>
      <c r="D57" s="37">
        <v>330</v>
      </c>
      <c r="E57" s="37">
        <v>531</v>
      </c>
      <c r="F57" s="37">
        <v>46</v>
      </c>
      <c r="G57" s="37" t="s">
        <v>518</v>
      </c>
      <c r="H57" s="36">
        <v>93.9</v>
      </c>
      <c r="I57" s="36">
        <v>33.9</v>
      </c>
      <c r="J57" s="36">
        <v>77</v>
      </c>
      <c r="K57" s="36">
        <v>41.2</v>
      </c>
      <c r="L57" s="36" t="s">
        <v>518</v>
      </c>
    </row>
    <row r="58" spans="1:12">
      <c r="A58" s="35" t="s">
        <v>567</v>
      </c>
      <c r="B58" s="36">
        <v>3.9</v>
      </c>
      <c r="C58" s="37">
        <v>415</v>
      </c>
      <c r="D58" s="37">
        <v>135</v>
      </c>
      <c r="E58" s="37">
        <v>261</v>
      </c>
      <c r="F58" s="37">
        <v>18</v>
      </c>
      <c r="G58" s="37" t="s">
        <v>518</v>
      </c>
      <c r="H58" s="36">
        <v>105.3</v>
      </c>
      <c r="I58" s="36">
        <v>34.200000000000003</v>
      </c>
      <c r="J58" s="36">
        <v>80.7</v>
      </c>
      <c r="K58" s="36">
        <v>62.7</v>
      </c>
      <c r="L58" s="36" t="s">
        <v>518</v>
      </c>
    </row>
    <row r="59" spans="1:12">
      <c r="A59" s="38" t="s">
        <v>568</v>
      </c>
      <c r="B59" s="36">
        <v>3.4</v>
      </c>
      <c r="C59" s="37">
        <v>382</v>
      </c>
      <c r="D59" s="37">
        <v>132</v>
      </c>
      <c r="E59" s="37">
        <v>234</v>
      </c>
      <c r="F59" s="37">
        <v>16</v>
      </c>
      <c r="G59" s="37" t="s">
        <v>518</v>
      </c>
      <c r="H59" s="36">
        <v>111.9</v>
      </c>
      <c r="I59" s="36">
        <v>38.6</v>
      </c>
      <c r="J59" s="36">
        <v>89.2</v>
      </c>
      <c r="K59" s="36">
        <v>51.5</v>
      </c>
      <c r="L59" s="36" t="s">
        <v>518</v>
      </c>
    </row>
    <row r="60" spans="1:12">
      <c r="A60" s="35" t="s">
        <v>569</v>
      </c>
      <c r="B60" s="36">
        <v>1.5</v>
      </c>
      <c r="C60" s="37">
        <v>174</v>
      </c>
      <c r="D60" s="37">
        <v>69</v>
      </c>
      <c r="E60" s="37">
        <v>90</v>
      </c>
      <c r="F60" s="37" t="s">
        <v>518</v>
      </c>
      <c r="G60" s="37" t="s">
        <v>518</v>
      </c>
      <c r="H60" s="36">
        <v>116.2</v>
      </c>
      <c r="I60" s="36">
        <v>46.1</v>
      </c>
      <c r="J60" s="36">
        <v>90</v>
      </c>
      <c r="K60" s="36" t="s">
        <v>518</v>
      </c>
      <c r="L60" s="36" t="s">
        <v>518</v>
      </c>
    </row>
    <row r="61" spans="1:12">
      <c r="A61" s="35" t="s">
        <v>570</v>
      </c>
      <c r="B61" s="36">
        <v>1</v>
      </c>
      <c r="C61" s="37">
        <v>118</v>
      </c>
      <c r="D61" s="37">
        <v>42</v>
      </c>
      <c r="E61" s="37">
        <v>72</v>
      </c>
      <c r="F61" s="37" t="s">
        <v>518</v>
      </c>
      <c r="G61" s="37" t="s">
        <v>534</v>
      </c>
      <c r="H61" s="36">
        <v>123.8</v>
      </c>
      <c r="I61" s="36">
        <v>44.5</v>
      </c>
      <c r="J61" s="36">
        <v>102.1</v>
      </c>
      <c r="K61" s="36" t="s">
        <v>518</v>
      </c>
      <c r="L61" s="36" t="s">
        <v>534</v>
      </c>
    </row>
    <row r="62" spans="1:12" ht="24" customHeight="1">
      <c r="A62" s="30" t="s">
        <v>571</v>
      </c>
      <c r="B62" s="33" t="s">
        <v>520</v>
      </c>
      <c r="C62" s="34" t="s">
        <v>520</v>
      </c>
      <c r="D62" s="34" t="s">
        <v>520</v>
      </c>
      <c r="E62" s="34" t="s">
        <v>520</v>
      </c>
      <c r="F62" s="34" t="s">
        <v>520</v>
      </c>
      <c r="G62" s="34" t="s">
        <v>520</v>
      </c>
      <c r="H62" s="33" t="s">
        <v>520</v>
      </c>
      <c r="I62" s="33" t="s">
        <v>520</v>
      </c>
      <c r="J62" s="33" t="s">
        <v>520</v>
      </c>
      <c r="K62" s="33" t="s">
        <v>520</v>
      </c>
      <c r="L62" s="33" t="s">
        <v>520</v>
      </c>
    </row>
    <row r="63" spans="1:12">
      <c r="A63" s="38" t="s">
        <v>572</v>
      </c>
      <c r="B63" s="36">
        <v>4.5999999999999996</v>
      </c>
      <c r="C63" s="37">
        <v>307</v>
      </c>
      <c r="D63" s="37">
        <v>117</v>
      </c>
      <c r="E63" s="37">
        <v>183</v>
      </c>
      <c r="F63" s="37">
        <v>6</v>
      </c>
      <c r="G63" s="37" t="s">
        <v>518</v>
      </c>
      <c r="H63" s="36">
        <v>67.2</v>
      </c>
      <c r="I63" s="36">
        <v>25.7</v>
      </c>
      <c r="J63" s="36">
        <v>59.5</v>
      </c>
      <c r="K63" s="36">
        <v>19.899999999999999</v>
      </c>
      <c r="L63" s="36" t="s">
        <v>518</v>
      </c>
    </row>
    <row r="64" spans="1:12">
      <c r="A64" s="38" t="s">
        <v>573</v>
      </c>
      <c r="B64" s="36">
        <v>6.6</v>
      </c>
      <c r="C64" s="37">
        <v>558</v>
      </c>
      <c r="D64" s="37">
        <v>185</v>
      </c>
      <c r="E64" s="37">
        <v>353</v>
      </c>
      <c r="F64" s="37">
        <v>20</v>
      </c>
      <c r="G64" s="37" t="s">
        <v>518</v>
      </c>
      <c r="H64" s="36">
        <v>84.7</v>
      </c>
      <c r="I64" s="36">
        <v>28.1</v>
      </c>
      <c r="J64" s="36">
        <v>71.7</v>
      </c>
      <c r="K64" s="36">
        <v>46.8</v>
      </c>
      <c r="L64" s="36" t="s">
        <v>518</v>
      </c>
    </row>
    <row r="65" spans="1:12">
      <c r="A65" s="38" t="s">
        <v>574</v>
      </c>
      <c r="B65" s="36">
        <v>4.2</v>
      </c>
      <c r="C65" s="37">
        <v>374</v>
      </c>
      <c r="D65" s="37">
        <v>133</v>
      </c>
      <c r="E65" s="37">
        <v>219</v>
      </c>
      <c r="F65" s="37">
        <v>20</v>
      </c>
      <c r="G65" s="37" t="s">
        <v>518</v>
      </c>
      <c r="H65" s="36">
        <v>88.7</v>
      </c>
      <c r="I65" s="36">
        <v>31.6</v>
      </c>
      <c r="J65" s="36">
        <v>74.599999999999994</v>
      </c>
      <c r="K65" s="36">
        <v>43.1</v>
      </c>
      <c r="L65" s="36" t="s">
        <v>518</v>
      </c>
    </row>
    <row r="66" spans="1:12">
      <c r="A66" s="38" t="s">
        <v>575</v>
      </c>
      <c r="B66" s="36">
        <v>3.9</v>
      </c>
      <c r="C66" s="37">
        <v>390</v>
      </c>
      <c r="D66" s="37">
        <v>135</v>
      </c>
      <c r="E66" s="37">
        <v>231</v>
      </c>
      <c r="F66" s="37">
        <v>20</v>
      </c>
      <c r="G66" s="37" t="s">
        <v>518</v>
      </c>
      <c r="H66" s="36">
        <v>99.3</v>
      </c>
      <c r="I66" s="36">
        <v>34.5</v>
      </c>
      <c r="J66" s="36">
        <v>75.5</v>
      </c>
      <c r="K66" s="36">
        <v>48.2</v>
      </c>
      <c r="L66" s="36" t="s">
        <v>518</v>
      </c>
    </row>
    <row r="67" spans="1:12">
      <c r="A67" s="38" t="s">
        <v>576</v>
      </c>
      <c r="B67" s="36">
        <v>2.2999999999999998</v>
      </c>
      <c r="C67" s="37">
        <v>247</v>
      </c>
      <c r="D67" s="37">
        <v>84</v>
      </c>
      <c r="E67" s="37">
        <v>145</v>
      </c>
      <c r="F67" s="37" t="s">
        <v>518</v>
      </c>
      <c r="G67" s="37" t="s">
        <v>518</v>
      </c>
      <c r="H67" s="36">
        <v>105.4</v>
      </c>
      <c r="I67" s="36">
        <v>35.700000000000003</v>
      </c>
      <c r="J67" s="36">
        <v>78.8</v>
      </c>
      <c r="K67" s="36">
        <v>63.8</v>
      </c>
      <c r="L67" s="36" t="s">
        <v>518</v>
      </c>
    </row>
    <row r="68" spans="1:12">
      <c r="A68" s="38" t="s">
        <v>577</v>
      </c>
      <c r="B68" s="36">
        <v>1.6</v>
      </c>
      <c r="C68" s="37">
        <v>182</v>
      </c>
      <c r="D68" s="37">
        <v>66</v>
      </c>
      <c r="E68" s="37">
        <v>103</v>
      </c>
      <c r="F68" s="37" t="s">
        <v>518</v>
      </c>
      <c r="G68" s="37" t="s">
        <v>518</v>
      </c>
      <c r="H68" s="36">
        <v>113.9</v>
      </c>
      <c r="I68" s="36">
        <v>41.2</v>
      </c>
      <c r="J68" s="36">
        <v>88.1</v>
      </c>
      <c r="K68" s="36">
        <v>48.4</v>
      </c>
      <c r="L68" s="36" t="s">
        <v>518</v>
      </c>
    </row>
    <row r="69" spans="1:12">
      <c r="A69" s="38" t="s">
        <v>578</v>
      </c>
      <c r="B69" s="36">
        <v>1.2</v>
      </c>
      <c r="C69" s="37">
        <v>156</v>
      </c>
      <c r="D69" s="37">
        <v>55</v>
      </c>
      <c r="E69" s="37">
        <v>95</v>
      </c>
      <c r="F69" s="37" t="s">
        <v>518</v>
      </c>
      <c r="G69" s="37" t="s">
        <v>534</v>
      </c>
      <c r="H69" s="36">
        <v>124.8</v>
      </c>
      <c r="I69" s="36">
        <v>43.8</v>
      </c>
      <c r="J69" s="36">
        <v>95.3</v>
      </c>
      <c r="K69" s="36" t="s">
        <v>518</v>
      </c>
      <c r="L69" s="36" t="s">
        <v>534</v>
      </c>
    </row>
    <row r="70" spans="1:12">
      <c r="A70" s="38" t="s">
        <v>579</v>
      </c>
      <c r="B70" s="36">
        <v>1.9</v>
      </c>
      <c r="C70" s="37">
        <v>273</v>
      </c>
      <c r="D70" s="37">
        <v>86</v>
      </c>
      <c r="E70" s="37">
        <v>180</v>
      </c>
      <c r="F70" s="37" t="s">
        <v>518</v>
      </c>
      <c r="G70" s="37" t="s">
        <v>534</v>
      </c>
      <c r="H70" s="36">
        <v>143.80000000000001</v>
      </c>
      <c r="I70" s="36">
        <v>45.5</v>
      </c>
      <c r="J70" s="36">
        <v>109.8</v>
      </c>
      <c r="K70" s="36" t="s">
        <v>518</v>
      </c>
      <c r="L70" s="36" t="s">
        <v>534</v>
      </c>
    </row>
    <row r="71" spans="1:12" ht="24" customHeight="1">
      <c r="A71" s="30" t="s">
        <v>580</v>
      </c>
      <c r="B71" s="33" t="s">
        <v>520</v>
      </c>
      <c r="C71" s="34" t="s">
        <v>520</v>
      </c>
      <c r="D71" s="34" t="s">
        <v>520</v>
      </c>
      <c r="E71" s="34" t="s">
        <v>520</v>
      </c>
      <c r="F71" s="34" t="s">
        <v>520</v>
      </c>
      <c r="G71" s="34" t="s">
        <v>520</v>
      </c>
      <c r="H71" s="33" t="s">
        <v>520</v>
      </c>
      <c r="I71" s="33" t="s">
        <v>520</v>
      </c>
      <c r="J71" s="33" t="s">
        <v>520</v>
      </c>
      <c r="K71" s="33" t="s">
        <v>520</v>
      </c>
      <c r="L71" s="33" t="s">
        <v>520</v>
      </c>
    </row>
    <row r="72" spans="1:12">
      <c r="A72" s="38" t="s">
        <v>581</v>
      </c>
      <c r="B72" s="36">
        <v>24</v>
      </c>
      <c r="C72" s="37">
        <v>2364</v>
      </c>
      <c r="D72" s="37">
        <v>820</v>
      </c>
      <c r="E72" s="37">
        <v>1432</v>
      </c>
      <c r="F72" s="37">
        <v>105</v>
      </c>
      <c r="G72" s="37" t="s">
        <v>518</v>
      </c>
      <c r="H72" s="36">
        <v>98.6</v>
      </c>
      <c r="I72" s="36">
        <v>34.200000000000003</v>
      </c>
      <c r="J72" s="36">
        <v>80.5</v>
      </c>
      <c r="K72" s="36">
        <v>47.3</v>
      </c>
      <c r="L72" s="36" t="s">
        <v>518</v>
      </c>
    </row>
    <row r="73" spans="1:12" ht="26.5">
      <c r="A73" s="38" t="s">
        <v>582</v>
      </c>
      <c r="B73" s="36">
        <v>1.5</v>
      </c>
      <c r="C73" s="37">
        <v>70</v>
      </c>
      <c r="D73" s="37">
        <v>23</v>
      </c>
      <c r="E73" s="37">
        <v>44</v>
      </c>
      <c r="F73" s="37" t="s">
        <v>518</v>
      </c>
      <c r="G73" s="37" t="s">
        <v>518</v>
      </c>
      <c r="H73" s="36">
        <v>47.2</v>
      </c>
      <c r="I73" s="36">
        <v>15.4</v>
      </c>
      <c r="J73" s="36">
        <v>35</v>
      </c>
      <c r="K73" s="36" t="s">
        <v>518</v>
      </c>
      <c r="L73" s="36" t="s">
        <v>518</v>
      </c>
    </row>
    <row r="74" spans="1:12">
      <c r="A74" s="38" t="s">
        <v>583</v>
      </c>
      <c r="B74" s="36">
        <v>0.7</v>
      </c>
      <c r="C74" s="37">
        <v>40</v>
      </c>
      <c r="D74" s="37">
        <v>14</v>
      </c>
      <c r="E74" s="37">
        <v>26</v>
      </c>
      <c r="F74" s="37" t="s">
        <v>534</v>
      </c>
      <c r="G74" s="37" t="s">
        <v>534</v>
      </c>
      <c r="H74" s="36">
        <v>55.1</v>
      </c>
      <c r="I74" s="36">
        <v>19.3</v>
      </c>
      <c r="J74" s="36">
        <v>53.5</v>
      </c>
      <c r="K74" s="36" t="s">
        <v>534</v>
      </c>
      <c r="L74" s="36" t="s">
        <v>534</v>
      </c>
    </row>
    <row r="75" spans="1:12">
      <c r="A75" s="38" t="s">
        <v>584</v>
      </c>
      <c r="B75" s="36" t="s">
        <v>518</v>
      </c>
      <c r="C75" s="37" t="s">
        <v>518</v>
      </c>
      <c r="D75" s="37" t="s">
        <v>518</v>
      </c>
      <c r="E75" s="37" t="s">
        <v>518</v>
      </c>
      <c r="F75" s="37" t="s">
        <v>518</v>
      </c>
      <c r="G75" s="37" t="s">
        <v>534</v>
      </c>
      <c r="H75" s="36" t="s">
        <v>518</v>
      </c>
      <c r="I75" s="36" t="s">
        <v>518</v>
      </c>
      <c r="J75" s="36" t="s">
        <v>518</v>
      </c>
      <c r="K75" s="36" t="s">
        <v>518</v>
      </c>
      <c r="L75" s="36" t="s">
        <v>534</v>
      </c>
    </row>
    <row r="76" spans="1:12" ht="24" customHeight="1">
      <c r="A76" s="41" t="s">
        <v>585</v>
      </c>
      <c r="B76" s="33" t="s">
        <v>520</v>
      </c>
      <c r="C76" s="34" t="s">
        <v>520</v>
      </c>
      <c r="D76" s="34" t="s">
        <v>520</v>
      </c>
      <c r="E76" s="34" t="s">
        <v>520</v>
      </c>
      <c r="F76" s="34" t="s">
        <v>520</v>
      </c>
      <c r="G76" s="34" t="s">
        <v>520</v>
      </c>
      <c r="H76" s="33" t="s">
        <v>520</v>
      </c>
      <c r="I76" s="33" t="s">
        <v>520</v>
      </c>
      <c r="J76" s="33" t="s">
        <v>520</v>
      </c>
      <c r="K76" s="33" t="s">
        <v>520</v>
      </c>
      <c r="L76" s="33" t="s">
        <v>520</v>
      </c>
    </row>
    <row r="77" spans="1:12">
      <c r="A77" s="35" t="s">
        <v>228</v>
      </c>
      <c r="B77" s="36">
        <v>18.7</v>
      </c>
      <c r="C77" s="37">
        <v>2020</v>
      </c>
      <c r="D77" s="37">
        <v>528</v>
      </c>
      <c r="E77" s="37">
        <v>1490</v>
      </c>
      <c r="F77" s="37" t="s">
        <v>518</v>
      </c>
      <c r="G77" s="37" t="s">
        <v>518</v>
      </c>
      <c r="H77" s="36">
        <v>108</v>
      </c>
      <c r="I77" s="36">
        <v>28.3</v>
      </c>
      <c r="J77" s="36">
        <v>79.7</v>
      </c>
      <c r="K77" s="36" t="s">
        <v>518</v>
      </c>
      <c r="L77" s="36" t="s">
        <v>518</v>
      </c>
    </row>
    <row r="78" spans="1:12">
      <c r="A78" s="35" t="s">
        <v>227</v>
      </c>
      <c r="B78" s="36">
        <v>5.4</v>
      </c>
      <c r="C78" s="37">
        <v>261</v>
      </c>
      <c r="D78" s="37">
        <v>239</v>
      </c>
      <c r="E78" s="37">
        <v>15</v>
      </c>
      <c r="F78" s="37">
        <v>7</v>
      </c>
      <c r="G78" s="37" t="s">
        <v>534</v>
      </c>
      <c r="H78" s="36">
        <v>48.1</v>
      </c>
      <c r="I78" s="36">
        <v>44</v>
      </c>
      <c r="J78" s="36">
        <v>17.8</v>
      </c>
      <c r="K78" s="36">
        <v>17.7</v>
      </c>
      <c r="L78" s="36" t="s">
        <v>534</v>
      </c>
    </row>
    <row r="79" spans="1:12">
      <c r="A79" s="35" t="s">
        <v>586</v>
      </c>
      <c r="B79" s="36" t="s">
        <v>518</v>
      </c>
      <c r="C79" s="37" t="s">
        <v>518</v>
      </c>
      <c r="D79" s="37" t="s">
        <v>518</v>
      </c>
      <c r="E79" s="37" t="s">
        <v>518</v>
      </c>
      <c r="F79" s="37" t="s">
        <v>518</v>
      </c>
      <c r="G79" s="37" t="s">
        <v>518</v>
      </c>
      <c r="H79" s="36" t="s">
        <v>518</v>
      </c>
      <c r="I79" s="36" t="s">
        <v>518</v>
      </c>
      <c r="J79" s="36" t="s">
        <v>518</v>
      </c>
      <c r="K79" s="36" t="s">
        <v>518</v>
      </c>
      <c r="L79" s="36" t="s">
        <v>518</v>
      </c>
    </row>
    <row r="80" spans="1:12">
      <c r="A80" s="35" t="s">
        <v>515</v>
      </c>
      <c r="B80" s="36">
        <v>1.5</v>
      </c>
      <c r="C80" s="37">
        <v>157</v>
      </c>
      <c r="D80" s="37">
        <v>65</v>
      </c>
      <c r="E80" s="37" t="s">
        <v>534</v>
      </c>
      <c r="F80" s="37">
        <v>92</v>
      </c>
      <c r="G80" s="37" t="s">
        <v>534</v>
      </c>
      <c r="H80" s="36">
        <v>102.6</v>
      </c>
      <c r="I80" s="36">
        <v>42.4</v>
      </c>
      <c r="J80" s="36" t="s">
        <v>534</v>
      </c>
      <c r="K80" s="36">
        <v>60.1</v>
      </c>
      <c r="L80" s="36" t="s">
        <v>534</v>
      </c>
    </row>
    <row r="81" spans="1:12" ht="15" thickBot="1">
      <c r="A81" s="42"/>
      <c r="B81" s="42"/>
      <c r="C81" s="42"/>
      <c r="D81" s="42"/>
      <c r="E81" s="42"/>
      <c r="F81" s="42"/>
      <c r="G81" s="42"/>
      <c r="H81" s="42"/>
      <c r="I81" s="42"/>
      <c r="J81" s="42"/>
      <c r="K81" s="42"/>
      <c r="L81" s="42"/>
    </row>
    <row r="82" spans="1:12" ht="249" customHeight="1">
      <c r="A82" s="265" t="s">
        <v>587</v>
      </c>
      <c r="B82" s="265"/>
      <c r="C82" s="265"/>
      <c r="D82" s="265"/>
      <c r="E82" s="265"/>
      <c r="F82" s="265"/>
      <c r="G82" s="265"/>
      <c r="H82" s="265"/>
      <c r="I82" s="265"/>
      <c r="J82" s="265"/>
      <c r="K82" s="265"/>
      <c r="L82" s="265"/>
    </row>
  </sheetData>
  <mergeCells count="4">
    <mergeCell ref="A2:L2"/>
    <mergeCell ref="C3:G3"/>
    <mergeCell ref="H3:L3"/>
    <mergeCell ref="A82:L82"/>
  </mergeCells>
  <pageMargins left="0.7" right="0.7" top="0.6" bottom="0.6" header="0.3" footer="0.3"/>
  <pageSetup fitToHeight="0" orientation="landscape" r:id="rId1"/>
  <headerFooter>
    <oddFooter>&amp;C&amp;10U.S. Energy Information Administration
2015 Residential Energy Consumption Survey:  Energy Consumption and Expenditures Tables</oddFooter>
  </headerFooter>
  <rowBreaks count="2" manualBreakCount="2">
    <brk id="23" max="16383" man="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19176-FFA1-45BE-BA86-2289B6F61B6A}">
  <dimension ref="A1:AI85"/>
  <sheetViews>
    <sheetView topLeftCell="R1" workbookViewId="0">
      <selection activeCell="AH8" sqref="AH8"/>
    </sheetView>
  </sheetViews>
  <sheetFormatPr defaultColWidth="8.7265625" defaultRowHeight="12.5"/>
  <cols>
    <col min="1" max="1" width="26.26953125" style="44" customWidth="1"/>
    <col min="2" max="20" width="7.7265625" style="44" customWidth="1"/>
    <col min="21" max="22" width="6.7265625" style="44" customWidth="1"/>
    <col min="23" max="32" width="7.7265625" style="44" customWidth="1"/>
    <col min="33" max="33" width="8.7265625" style="44"/>
    <col min="34" max="34" width="13.7265625" style="44" bestFit="1" customWidth="1"/>
    <col min="35" max="35" width="16.26953125" style="44" bestFit="1" customWidth="1"/>
    <col min="36" max="256" width="8.7265625" style="44"/>
    <col min="257" max="257" width="26.26953125" style="44" customWidth="1"/>
    <col min="258" max="276" width="7.7265625" style="44" customWidth="1"/>
    <col min="277" max="278" width="6.7265625" style="44" customWidth="1"/>
    <col min="279" max="288" width="7.7265625" style="44" customWidth="1"/>
    <col min="289" max="512" width="8.7265625" style="44"/>
    <col min="513" max="513" width="26.26953125" style="44" customWidth="1"/>
    <col min="514" max="532" width="7.7265625" style="44" customWidth="1"/>
    <col min="533" max="534" width="6.7265625" style="44" customWidth="1"/>
    <col min="535" max="544" width="7.7265625" style="44" customWidth="1"/>
    <col min="545" max="768" width="8.7265625" style="44"/>
    <col min="769" max="769" width="26.26953125" style="44" customWidth="1"/>
    <col min="770" max="788" width="7.7265625" style="44" customWidth="1"/>
    <col min="789" max="790" width="6.7265625" style="44" customWidth="1"/>
    <col min="791" max="800" width="7.7265625" style="44" customWidth="1"/>
    <col min="801" max="1024" width="8.7265625" style="44"/>
    <col min="1025" max="1025" width="26.26953125" style="44" customWidth="1"/>
    <col min="1026" max="1044" width="7.7265625" style="44" customWidth="1"/>
    <col min="1045" max="1046" width="6.7265625" style="44" customWidth="1"/>
    <col min="1047" max="1056" width="7.7265625" style="44" customWidth="1"/>
    <col min="1057" max="1280" width="8.7265625" style="44"/>
    <col min="1281" max="1281" width="26.26953125" style="44" customWidth="1"/>
    <col min="1282" max="1300" width="7.7265625" style="44" customWidth="1"/>
    <col min="1301" max="1302" width="6.7265625" style="44" customWidth="1"/>
    <col min="1303" max="1312" width="7.7265625" style="44" customWidth="1"/>
    <col min="1313" max="1536" width="8.7265625" style="44"/>
    <col min="1537" max="1537" width="26.26953125" style="44" customWidth="1"/>
    <col min="1538" max="1556" width="7.7265625" style="44" customWidth="1"/>
    <col min="1557" max="1558" width="6.7265625" style="44" customWidth="1"/>
    <col min="1559" max="1568" width="7.7265625" style="44" customWidth="1"/>
    <col min="1569" max="1792" width="8.7265625" style="44"/>
    <col min="1793" max="1793" width="26.26953125" style="44" customWidth="1"/>
    <col min="1794" max="1812" width="7.7265625" style="44" customWidth="1"/>
    <col min="1813" max="1814" width="6.7265625" style="44" customWidth="1"/>
    <col min="1815" max="1824" width="7.7265625" style="44" customWidth="1"/>
    <col min="1825" max="2048" width="8.7265625" style="44"/>
    <col min="2049" max="2049" width="26.26953125" style="44" customWidth="1"/>
    <col min="2050" max="2068" width="7.7265625" style="44" customWidth="1"/>
    <col min="2069" max="2070" width="6.7265625" style="44" customWidth="1"/>
    <col min="2071" max="2080" width="7.7265625" style="44" customWidth="1"/>
    <col min="2081" max="2304" width="8.7265625" style="44"/>
    <col min="2305" max="2305" width="26.26953125" style="44" customWidth="1"/>
    <col min="2306" max="2324" width="7.7265625" style="44" customWidth="1"/>
    <col min="2325" max="2326" width="6.7265625" style="44" customWidth="1"/>
    <col min="2327" max="2336" width="7.7265625" style="44" customWidth="1"/>
    <col min="2337" max="2560" width="8.7265625" style="44"/>
    <col min="2561" max="2561" width="26.26953125" style="44" customWidth="1"/>
    <col min="2562" max="2580" width="7.7265625" style="44" customWidth="1"/>
    <col min="2581" max="2582" width="6.7265625" style="44" customWidth="1"/>
    <col min="2583" max="2592" width="7.7265625" style="44" customWidth="1"/>
    <col min="2593" max="2816" width="8.7265625" style="44"/>
    <col min="2817" max="2817" width="26.26953125" style="44" customWidth="1"/>
    <col min="2818" max="2836" width="7.7265625" style="44" customWidth="1"/>
    <col min="2837" max="2838" width="6.7265625" style="44" customWidth="1"/>
    <col min="2839" max="2848" width="7.7265625" style="44" customWidth="1"/>
    <col min="2849" max="3072" width="8.7265625" style="44"/>
    <col min="3073" max="3073" width="26.26953125" style="44" customWidth="1"/>
    <col min="3074" max="3092" width="7.7265625" style="44" customWidth="1"/>
    <col min="3093" max="3094" width="6.7265625" style="44" customWidth="1"/>
    <col min="3095" max="3104" width="7.7265625" style="44" customWidth="1"/>
    <col min="3105" max="3328" width="8.7265625" style="44"/>
    <col min="3329" max="3329" width="26.26953125" style="44" customWidth="1"/>
    <col min="3330" max="3348" width="7.7265625" style="44" customWidth="1"/>
    <col min="3349" max="3350" width="6.7265625" style="44" customWidth="1"/>
    <col min="3351" max="3360" width="7.7265625" style="44" customWidth="1"/>
    <col min="3361" max="3584" width="8.7265625" style="44"/>
    <col min="3585" max="3585" width="26.26953125" style="44" customWidth="1"/>
    <col min="3586" max="3604" width="7.7265625" style="44" customWidth="1"/>
    <col min="3605" max="3606" width="6.7265625" style="44" customWidth="1"/>
    <col min="3607" max="3616" width="7.7265625" style="44" customWidth="1"/>
    <col min="3617" max="3840" width="8.7265625" style="44"/>
    <col min="3841" max="3841" width="26.26953125" style="44" customWidth="1"/>
    <col min="3842" max="3860" width="7.7265625" style="44" customWidth="1"/>
    <col min="3861" max="3862" width="6.7265625" style="44" customWidth="1"/>
    <col min="3863" max="3872" width="7.7265625" style="44" customWidth="1"/>
    <col min="3873" max="4096" width="8.7265625" style="44"/>
    <col min="4097" max="4097" width="26.26953125" style="44" customWidth="1"/>
    <col min="4098" max="4116" width="7.7265625" style="44" customWidth="1"/>
    <col min="4117" max="4118" width="6.7265625" style="44" customWidth="1"/>
    <col min="4119" max="4128" width="7.7265625" style="44" customWidth="1"/>
    <col min="4129" max="4352" width="8.7265625" style="44"/>
    <col min="4353" max="4353" width="26.26953125" style="44" customWidth="1"/>
    <col min="4354" max="4372" width="7.7265625" style="44" customWidth="1"/>
    <col min="4373" max="4374" width="6.7265625" style="44" customWidth="1"/>
    <col min="4375" max="4384" width="7.7265625" style="44" customWidth="1"/>
    <col min="4385" max="4608" width="8.7265625" style="44"/>
    <col min="4609" max="4609" width="26.26953125" style="44" customWidth="1"/>
    <col min="4610" max="4628" width="7.7265625" style="44" customWidth="1"/>
    <col min="4629" max="4630" width="6.7265625" style="44" customWidth="1"/>
    <col min="4631" max="4640" width="7.7265625" style="44" customWidth="1"/>
    <col min="4641" max="4864" width="8.7265625" style="44"/>
    <col min="4865" max="4865" width="26.26953125" style="44" customWidth="1"/>
    <col min="4866" max="4884" width="7.7265625" style="44" customWidth="1"/>
    <col min="4885" max="4886" width="6.7265625" style="44" customWidth="1"/>
    <col min="4887" max="4896" width="7.7265625" style="44" customWidth="1"/>
    <col min="4897" max="5120" width="8.7265625" style="44"/>
    <col min="5121" max="5121" width="26.26953125" style="44" customWidth="1"/>
    <col min="5122" max="5140" width="7.7265625" style="44" customWidth="1"/>
    <col min="5141" max="5142" width="6.7265625" style="44" customWidth="1"/>
    <col min="5143" max="5152" width="7.7265625" style="44" customWidth="1"/>
    <col min="5153" max="5376" width="8.7265625" style="44"/>
    <col min="5377" max="5377" width="26.26953125" style="44" customWidth="1"/>
    <col min="5378" max="5396" width="7.7265625" style="44" customWidth="1"/>
    <col min="5397" max="5398" width="6.7265625" style="44" customWidth="1"/>
    <col min="5399" max="5408" width="7.7265625" style="44" customWidth="1"/>
    <col min="5409" max="5632" width="8.7265625" style="44"/>
    <col min="5633" max="5633" width="26.26953125" style="44" customWidth="1"/>
    <col min="5634" max="5652" width="7.7265625" style="44" customWidth="1"/>
    <col min="5653" max="5654" width="6.7265625" style="44" customWidth="1"/>
    <col min="5655" max="5664" width="7.7265625" style="44" customWidth="1"/>
    <col min="5665" max="5888" width="8.7265625" style="44"/>
    <col min="5889" max="5889" width="26.26953125" style="44" customWidth="1"/>
    <col min="5890" max="5908" width="7.7265625" style="44" customWidth="1"/>
    <col min="5909" max="5910" width="6.7265625" style="44" customWidth="1"/>
    <col min="5911" max="5920" width="7.7265625" style="44" customWidth="1"/>
    <col min="5921" max="6144" width="8.7265625" style="44"/>
    <col min="6145" max="6145" width="26.26953125" style="44" customWidth="1"/>
    <col min="6146" max="6164" width="7.7265625" style="44" customWidth="1"/>
    <col min="6165" max="6166" width="6.7265625" style="44" customWidth="1"/>
    <col min="6167" max="6176" width="7.7265625" style="44" customWidth="1"/>
    <col min="6177" max="6400" width="8.7265625" style="44"/>
    <col min="6401" max="6401" width="26.26953125" style="44" customWidth="1"/>
    <col min="6402" max="6420" width="7.7265625" style="44" customWidth="1"/>
    <col min="6421" max="6422" width="6.7265625" style="44" customWidth="1"/>
    <col min="6423" max="6432" width="7.7265625" style="44" customWidth="1"/>
    <col min="6433" max="6656" width="8.7265625" style="44"/>
    <col min="6657" max="6657" width="26.26953125" style="44" customWidth="1"/>
    <col min="6658" max="6676" width="7.7265625" style="44" customWidth="1"/>
    <col min="6677" max="6678" width="6.7265625" style="44" customWidth="1"/>
    <col min="6679" max="6688" width="7.7265625" style="44" customWidth="1"/>
    <col min="6689" max="6912" width="8.7265625" style="44"/>
    <col min="6913" max="6913" width="26.26953125" style="44" customWidth="1"/>
    <col min="6914" max="6932" width="7.7265625" style="44" customWidth="1"/>
    <col min="6933" max="6934" width="6.7265625" style="44" customWidth="1"/>
    <col min="6935" max="6944" width="7.7265625" style="44" customWidth="1"/>
    <col min="6945" max="7168" width="8.7265625" style="44"/>
    <col min="7169" max="7169" width="26.26953125" style="44" customWidth="1"/>
    <col min="7170" max="7188" width="7.7265625" style="44" customWidth="1"/>
    <col min="7189" max="7190" width="6.7265625" style="44" customWidth="1"/>
    <col min="7191" max="7200" width="7.7265625" style="44" customWidth="1"/>
    <col min="7201" max="7424" width="8.7265625" style="44"/>
    <col min="7425" max="7425" width="26.26953125" style="44" customWidth="1"/>
    <col min="7426" max="7444" width="7.7265625" style="44" customWidth="1"/>
    <col min="7445" max="7446" width="6.7265625" style="44" customWidth="1"/>
    <col min="7447" max="7456" width="7.7265625" style="44" customWidth="1"/>
    <col min="7457" max="7680" width="8.7265625" style="44"/>
    <col min="7681" max="7681" width="26.26953125" style="44" customWidth="1"/>
    <col min="7682" max="7700" width="7.7265625" style="44" customWidth="1"/>
    <col min="7701" max="7702" width="6.7265625" style="44" customWidth="1"/>
    <col min="7703" max="7712" width="7.7265625" style="44" customWidth="1"/>
    <col min="7713" max="7936" width="8.7265625" style="44"/>
    <col min="7937" max="7937" width="26.26953125" style="44" customWidth="1"/>
    <col min="7938" max="7956" width="7.7265625" style="44" customWidth="1"/>
    <col min="7957" max="7958" width="6.7265625" style="44" customWidth="1"/>
    <col min="7959" max="7968" width="7.7265625" style="44" customWidth="1"/>
    <col min="7969" max="8192" width="8.7265625" style="44"/>
    <col min="8193" max="8193" width="26.26953125" style="44" customWidth="1"/>
    <col min="8194" max="8212" width="7.7265625" style="44" customWidth="1"/>
    <col min="8213" max="8214" width="6.7265625" style="44" customWidth="1"/>
    <col min="8215" max="8224" width="7.7265625" style="44" customWidth="1"/>
    <col min="8225" max="8448" width="8.7265625" style="44"/>
    <col min="8449" max="8449" width="26.26953125" style="44" customWidth="1"/>
    <col min="8450" max="8468" width="7.7265625" style="44" customWidth="1"/>
    <col min="8469" max="8470" width="6.7265625" style="44" customWidth="1"/>
    <col min="8471" max="8480" width="7.7265625" style="44" customWidth="1"/>
    <col min="8481" max="8704" width="8.7265625" style="44"/>
    <col min="8705" max="8705" width="26.26953125" style="44" customWidth="1"/>
    <col min="8706" max="8724" width="7.7265625" style="44" customWidth="1"/>
    <col min="8725" max="8726" width="6.7265625" style="44" customWidth="1"/>
    <col min="8727" max="8736" width="7.7265625" style="44" customWidth="1"/>
    <col min="8737" max="8960" width="8.7265625" style="44"/>
    <col min="8961" max="8961" width="26.26953125" style="44" customWidth="1"/>
    <col min="8962" max="8980" width="7.7265625" style="44" customWidth="1"/>
    <col min="8981" max="8982" width="6.7265625" style="44" customWidth="1"/>
    <col min="8983" max="8992" width="7.7265625" style="44" customWidth="1"/>
    <col min="8993" max="9216" width="8.7265625" style="44"/>
    <col min="9217" max="9217" width="26.26953125" style="44" customWidth="1"/>
    <col min="9218" max="9236" width="7.7265625" style="44" customWidth="1"/>
    <col min="9237" max="9238" width="6.7265625" style="44" customWidth="1"/>
    <col min="9239" max="9248" width="7.7265625" style="44" customWidth="1"/>
    <col min="9249" max="9472" width="8.7265625" style="44"/>
    <col min="9473" max="9473" width="26.26953125" style="44" customWidth="1"/>
    <col min="9474" max="9492" width="7.7265625" style="44" customWidth="1"/>
    <col min="9493" max="9494" width="6.7265625" style="44" customWidth="1"/>
    <col min="9495" max="9504" width="7.7265625" style="44" customWidth="1"/>
    <col min="9505" max="9728" width="8.7265625" style="44"/>
    <col min="9729" max="9729" width="26.26953125" style="44" customWidth="1"/>
    <col min="9730" max="9748" width="7.7265625" style="44" customWidth="1"/>
    <col min="9749" max="9750" width="6.7265625" style="44" customWidth="1"/>
    <col min="9751" max="9760" width="7.7265625" style="44" customWidth="1"/>
    <col min="9761" max="9984" width="8.7265625" style="44"/>
    <col min="9985" max="9985" width="26.26953125" style="44" customWidth="1"/>
    <col min="9986" max="10004" width="7.7265625" style="44" customWidth="1"/>
    <col min="10005" max="10006" width="6.7265625" style="44" customWidth="1"/>
    <col min="10007" max="10016" width="7.7265625" style="44" customWidth="1"/>
    <col min="10017" max="10240" width="8.7265625" style="44"/>
    <col min="10241" max="10241" width="26.26953125" style="44" customWidth="1"/>
    <col min="10242" max="10260" width="7.7265625" style="44" customWidth="1"/>
    <col min="10261" max="10262" width="6.7265625" style="44" customWidth="1"/>
    <col min="10263" max="10272" width="7.7265625" style="44" customWidth="1"/>
    <col min="10273" max="10496" width="8.7265625" style="44"/>
    <col min="10497" max="10497" width="26.26953125" style="44" customWidth="1"/>
    <col min="10498" max="10516" width="7.7265625" style="44" customWidth="1"/>
    <col min="10517" max="10518" width="6.7265625" style="44" customWidth="1"/>
    <col min="10519" max="10528" width="7.7265625" style="44" customWidth="1"/>
    <col min="10529" max="10752" width="8.7265625" style="44"/>
    <col min="10753" max="10753" width="26.26953125" style="44" customWidth="1"/>
    <col min="10754" max="10772" width="7.7265625" style="44" customWidth="1"/>
    <col min="10773" max="10774" width="6.7265625" style="44" customWidth="1"/>
    <col min="10775" max="10784" width="7.7265625" style="44" customWidth="1"/>
    <col min="10785" max="11008" width="8.7265625" style="44"/>
    <col min="11009" max="11009" width="26.26953125" style="44" customWidth="1"/>
    <col min="11010" max="11028" width="7.7265625" style="44" customWidth="1"/>
    <col min="11029" max="11030" width="6.7265625" style="44" customWidth="1"/>
    <col min="11031" max="11040" width="7.7265625" style="44" customWidth="1"/>
    <col min="11041" max="11264" width="8.7265625" style="44"/>
    <col min="11265" max="11265" width="26.26953125" style="44" customWidth="1"/>
    <col min="11266" max="11284" width="7.7265625" style="44" customWidth="1"/>
    <col min="11285" max="11286" width="6.7265625" style="44" customWidth="1"/>
    <col min="11287" max="11296" width="7.7265625" style="44" customWidth="1"/>
    <col min="11297" max="11520" width="8.7265625" style="44"/>
    <col min="11521" max="11521" width="26.26953125" style="44" customWidth="1"/>
    <col min="11522" max="11540" width="7.7265625" style="44" customWidth="1"/>
    <col min="11541" max="11542" width="6.7265625" style="44" customWidth="1"/>
    <col min="11543" max="11552" width="7.7265625" style="44" customWidth="1"/>
    <col min="11553" max="11776" width="8.7265625" style="44"/>
    <col min="11777" max="11777" width="26.26953125" style="44" customWidth="1"/>
    <col min="11778" max="11796" width="7.7265625" style="44" customWidth="1"/>
    <col min="11797" max="11798" width="6.7265625" style="44" customWidth="1"/>
    <col min="11799" max="11808" width="7.7265625" style="44" customWidth="1"/>
    <col min="11809" max="12032" width="8.7265625" style="44"/>
    <col min="12033" max="12033" width="26.26953125" style="44" customWidth="1"/>
    <col min="12034" max="12052" width="7.7265625" style="44" customWidth="1"/>
    <col min="12053" max="12054" width="6.7265625" style="44" customWidth="1"/>
    <col min="12055" max="12064" width="7.7265625" style="44" customWidth="1"/>
    <col min="12065" max="12288" width="8.7265625" style="44"/>
    <col min="12289" max="12289" width="26.26953125" style="44" customWidth="1"/>
    <col min="12290" max="12308" width="7.7265625" style="44" customWidth="1"/>
    <col min="12309" max="12310" width="6.7265625" style="44" customWidth="1"/>
    <col min="12311" max="12320" width="7.7265625" style="44" customWidth="1"/>
    <col min="12321" max="12544" width="8.7265625" style="44"/>
    <col min="12545" max="12545" width="26.26953125" style="44" customWidth="1"/>
    <col min="12546" max="12564" width="7.7265625" style="44" customWidth="1"/>
    <col min="12565" max="12566" width="6.7265625" style="44" customWidth="1"/>
    <col min="12567" max="12576" width="7.7265625" style="44" customWidth="1"/>
    <col min="12577" max="12800" width="8.7265625" style="44"/>
    <col min="12801" max="12801" width="26.26953125" style="44" customWidth="1"/>
    <col min="12802" max="12820" width="7.7265625" style="44" customWidth="1"/>
    <col min="12821" max="12822" width="6.7265625" style="44" customWidth="1"/>
    <col min="12823" max="12832" width="7.7265625" style="44" customWidth="1"/>
    <col min="12833" max="13056" width="8.7265625" style="44"/>
    <col min="13057" max="13057" width="26.26953125" style="44" customWidth="1"/>
    <col min="13058" max="13076" width="7.7265625" style="44" customWidth="1"/>
    <col min="13077" max="13078" width="6.7265625" style="44" customWidth="1"/>
    <col min="13079" max="13088" width="7.7265625" style="44" customWidth="1"/>
    <col min="13089" max="13312" width="8.7265625" style="44"/>
    <col min="13313" max="13313" width="26.26953125" style="44" customWidth="1"/>
    <col min="13314" max="13332" width="7.7265625" style="44" customWidth="1"/>
    <col min="13333" max="13334" width="6.7265625" style="44" customWidth="1"/>
    <col min="13335" max="13344" width="7.7265625" style="44" customWidth="1"/>
    <col min="13345" max="13568" width="8.7265625" style="44"/>
    <col min="13569" max="13569" width="26.26953125" style="44" customWidth="1"/>
    <col min="13570" max="13588" width="7.7265625" style="44" customWidth="1"/>
    <col min="13589" max="13590" width="6.7265625" style="44" customWidth="1"/>
    <col min="13591" max="13600" width="7.7265625" style="44" customWidth="1"/>
    <col min="13601" max="13824" width="8.7265625" style="44"/>
    <col min="13825" max="13825" width="26.26953125" style="44" customWidth="1"/>
    <col min="13826" max="13844" width="7.7265625" style="44" customWidth="1"/>
    <col min="13845" max="13846" width="6.7265625" style="44" customWidth="1"/>
    <col min="13847" max="13856" width="7.7265625" style="44" customWidth="1"/>
    <col min="13857" max="14080" width="8.7265625" style="44"/>
    <col min="14081" max="14081" width="26.26953125" style="44" customWidth="1"/>
    <col min="14082" max="14100" width="7.7265625" style="44" customWidth="1"/>
    <col min="14101" max="14102" width="6.7265625" style="44" customWidth="1"/>
    <col min="14103" max="14112" width="7.7265625" style="44" customWidth="1"/>
    <col min="14113" max="14336" width="8.7265625" style="44"/>
    <col min="14337" max="14337" width="26.26953125" style="44" customWidth="1"/>
    <col min="14338" max="14356" width="7.7265625" style="44" customWidth="1"/>
    <col min="14357" max="14358" width="6.7265625" style="44" customWidth="1"/>
    <col min="14359" max="14368" width="7.7265625" style="44" customWidth="1"/>
    <col min="14369" max="14592" width="8.7265625" style="44"/>
    <col min="14593" max="14593" width="26.26953125" style="44" customWidth="1"/>
    <col min="14594" max="14612" width="7.7265625" style="44" customWidth="1"/>
    <col min="14613" max="14614" width="6.7265625" style="44" customWidth="1"/>
    <col min="14615" max="14624" width="7.7265625" style="44" customWidth="1"/>
    <col min="14625" max="14848" width="8.7265625" style="44"/>
    <col min="14849" max="14849" width="26.26953125" style="44" customWidth="1"/>
    <col min="14850" max="14868" width="7.7265625" style="44" customWidth="1"/>
    <col min="14869" max="14870" width="6.7265625" style="44" customWidth="1"/>
    <col min="14871" max="14880" width="7.7265625" style="44" customWidth="1"/>
    <col min="14881" max="15104" width="8.7265625" style="44"/>
    <col min="15105" max="15105" width="26.26953125" style="44" customWidth="1"/>
    <col min="15106" max="15124" width="7.7265625" style="44" customWidth="1"/>
    <col min="15125" max="15126" width="6.7265625" style="44" customWidth="1"/>
    <col min="15127" max="15136" width="7.7265625" style="44" customWidth="1"/>
    <col min="15137" max="15360" width="8.7265625" style="44"/>
    <col min="15361" max="15361" width="26.26953125" style="44" customWidth="1"/>
    <col min="15362" max="15380" width="7.7265625" style="44" customWidth="1"/>
    <col min="15381" max="15382" width="6.7265625" style="44" customWidth="1"/>
    <col min="15383" max="15392" width="7.7265625" style="44" customWidth="1"/>
    <col min="15393" max="15616" width="8.7265625" style="44"/>
    <col min="15617" max="15617" width="26.26953125" style="44" customWidth="1"/>
    <col min="15618" max="15636" width="7.7265625" style="44" customWidth="1"/>
    <col min="15637" max="15638" width="6.7265625" style="44" customWidth="1"/>
    <col min="15639" max="15648" width="7.7265625" style="44" customWidth="1"/>
    <col min="15649" max="15872" width="8.7265625" style="44"/>
    <col min="15873" max="15873" width="26.26953125" style="44" customWidth="1"/>
    <col min="15874" max="15892" width="7.7265625" style="44" customWidth="1"/>
    <col min="15893" max="15894" width="6.7265625" style="44" customWidth="1"/>
    <col min="15895" max="15904" width="7.7265625" style="44" customWidth="1"/>
    <col min="15905" max="16128" width="8.7265625" style="44"/>
    <col min="16129" max="16129" width="26.26953125" style="44" customWidth="1"/>
    <col min="16130" max="16148" width="7.7265625" style="44" customWidth="1"/>
    <col min="16149" max="16150" width="6.7265625" style="44" customWidth="1"/>
    <col min="16151" max="16160" width="7.7265625" style="44" customWidth="1"/>
    <col min="16161" max="16384" width="8.7265625" style="44"/>
  </cols>
  <sheetData>
    <row r="1" spans="1:35">
      <c r="A1" s="44" t="s">
        <v>588</v>
      </c>
    </row>
    <row r="2" spans="1:35" ht="16.5" customHeight="1" thickBot="1">
      <c r="A2" s="267" t="s">
        <v>589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row>
    <row r="3" spans="1:35" ht="16.5" customHeight="1" thickBot="1">
      <c r="A3" s="62"/>
      <c r="B3" s="62">
        <v>2000</v>
      </c>
      <c r="C3" s="62">
        <v>2001</v>
      </c>
      <c r="D3" s="62">
        <v>2002</v>
      </c>
      <c r="E3" s="62">
        <v>2003</v>
      </c>
      <c r="F3" s="62">
        <v>2004</v>
      </c>
      <c r="G3" s="62">
        <v>2005</v>
      </c>
      <c r="H3" s="62">
        <v>2006</v>
      </c>
      <c r="I3" s="62">
        <v>2007</v>
      </c>
      <c r="J3" s="62">
        <v>2008</v>
      </c>
      <c r="K3" s="62">
        <v>2009</v>
      </c>
      <c r="L3" s="62">
        <v>2010</v>
      </c>
      <c r="M3" s="62">
        <v>2011</v>
      </c>
      <c r="N3" s="62">
        <v>2012</v>
      </c>
      <c r="O3" s="62">
        <v>2013</v>
      </c>
      <c r="P3" s="62">
        <v>2014</v>
      </c>
      <c r="Q3" s="62">
        <v>2015</v>
      </c>
      <c r="R3" s="62">
        <v>2016</v>
      </c>
      <c r="S3" s="62">
        <v>2017</v>
      </c>
      <c r="T3" s="62">
        <v>2018</v>
      </c>
      <c r="U3" s="62">
        <v>2019</v>
      </c>
      <c r="V3" s="62">
        <v>2020</v>
      </c>
      <c r="W3" s="62">
        <v>2021</v>
      </c>
      <c r="X3" s="62">
        <v>2022</v>
      </c>
      <c r="Y3" s="62">
        <v>2023</v>
      </c>
      <c r="Z3" s="62">
        <v>2024</v>
      </c>
      <c r="AA3" s="62">
        <v>2025</v>
      </c>
      <c r="AB3" s="62">
        <v>2026</v>
      </c>
      <c r="AC3" s="62">
        <v>2027</v>
      </c>
      <c r="AD3" s="62">
        <v>2028</v>
      </c>
      <c r="AE3" s="62">
        <v>2029</v>
      </c>
      <c r="AF3" s="62">
        <v>2030</v>
      </c>
    </row>
    <row r="4" spans="1:35" s="48" customFormat="1" ht="16.5" customHeight="1" thickBot="1">
      <c r="A4" s="45"/>
      <c r="B4" s="46">
        <v>2000</v>
      </c>
      <c r="C4" s="46">
        <v>2001</v>
      </c>
      <c r="D4" s="46">
        <v>2002</v>
      </c>
      <c r="E4" s="46">
        <v>2003</v>
      </c>
      <c r="F4" s="46">
        <v>2004</v>
      </c>
      <c r="G4" s="46">
        <v>2005</v>
      </c>
      <c r="H4" s="46">
        <v>2006</v>
      </c>
      <c r="I4" s="46">
        <v>2007</v>
      </c>
      <c r="J4" s="46">
        <v>2008</v>
      </c>
      <c r="K4" s="46">
        <v>2009</v>
      </c>
      <c r="L4" s="46">
        <v>2010</v>
      </c>
      <c r="M4" s="46">
        <v>2011</v>
      </c>
      <c r="N4" s="46">
        <v>2012</v>
      </c>
      <c r="O4" s="46">
        <v>2013</v>
      </c>
      <c r="P4" s="46">
        <v>2014</v>
      </c>
      <c r="Q4" s="46">
        <v>2015</v>
      </c>
      <c r="R4" s="46">
        <v>2016</v>
      </c>
      <c r="S4" s="46">
        <v>2017</v>
      </c>
      <c r="T4" s="46">
        <v>2018</v>
      </c>
      <c r="U4" s="45">
        <v>2019</v>
      </c>
      <c r="V4" s="45">
        <v>2020</v>
      </c>
      <c r="W4" s="47">
        <v>2021</v>
      </c>
      <c r="X4" s="47">
        <v>2022</v>
      </c>
      <c r="Y4" s="47">
        <v>2023</v>
      </c>
      <c r="Z4" s="47">
        <v>2024</v>
      </c>
      <c r="AA4" s="47">
        <v>2025</v>
      </c>
      <c r="AB4" s="47">
        <v>2026</v>
      </c>
      <c r="AC4" s="47">
        <v>2027</v>
      </c>
      <c r="AD4" s="47">
        <v>2028</v>
      </c>
      <c r="AE4" s="47">
        <v>2029</v>
      </c>
      <c r="AF4" s="47">
        <v>2030</v>
      </c>
      <c r="AH4" s="48" t="s">
        <v>590</v>
      </c>
      <c r="AI4" s="48" t="s">
        <v>591</v>
      </c>
    </row>
    <row r="5" spans="1:35" s="48" customFormat="1" ht="16.5" customHeight="1">
      <c r="A5" s="49" t="s">
        <v>592</v>
      </c>
      <c r="F5" s="50"/>
    </row>
    <row r="6" spans="1:35" s="48" customFormat="1" ht="16.5" customHeight="1">
      <c r="A6" s="51" t="s">
        <v>593</v>
      </c>
      <c r="F6" s="50"/>
    </row>
    <row r="7" spans="1:35" s="54" customFormat="1" ht="16.5" customHeight="1">
      <c r="A7" s="52" t="s">
        <v>594</v>
      </c>
      <c r="B7" s="53">
        <v>1.9530000000000001</v>
      </c>
      <c r="C7" s="53">
        <v>1.861</v>
      </c>
      <c r="D7" s="53">
        <v>1.7110000000000001</v>
      </c>
      <c r="E7" s="53">
        <v>1.603</v>
      </c>
      <c r="F7" s="53">
        <v>1.4450000000000001</v>
      </c>
      <c r="G7" s="53">
        <v>1.2969999999999999</v>
      </c>
      <c r="H7" s="53">
        <v>1.1870000000000001</v>
      </c>
      <c r="I7" s="53">
        <v>1.08</v>
      </c>
      <c r="J7" s="53">
        <v>1.0089999999999999</v>
      </c>
      <c r="K7" s="53">
        <v>0.93500000000000005</v>
      </c>
      <c r="L7" s="53">
        <v>0.85099999999999998</v>
      </c>
      <c r="M7" s="53">
        <v>0.755</v>
      </c>
      <c r="N7" s="53">
        <v>0.59099999999999997</v>
      </c>
      <c r="O7" s="53">
        <v>0.52900000000000003</v>
      </c>
      <c r="P7" s="53">
        <v>0.48199999999999998</v>
      </c>
      <c r="Q7" s="53">
        <v>0.433</v>
      </c>
      <c r="R7" s="53">
        <v>0.38800000000000001</v>
      </c>
      <c r="S7" s="53">
        <v>0.35399999999999998</v>
      </c>
      <c r="T7" s="53">
        <v>0.32800000000000001</v>
      </c>
      <c r="U7" s="53">
        <v>0.30199999999999999</v>
      </c>
      <c r="V7" s="53">
        <v>0.28000000000000003</v>
      </c>
      <c r="W7" s="53">
        <v>0.26300000000000001</v>
      </c>
      <c r="X7" s="53">
        <v>0.251</v>
      </c>
      <c r="Y7" s="53">
        <v>0.24099999999999999</v>
      </c>
      <c r="Z7" s="53">
        <v>0.22800000000000001</v>
      </c>
      <c r="AA7" s="53">
        <v>0.218</v>
      </c>
      <c r="AB7" s="53">
        <v>0.19500000000000001</v>
      </c>
      <c r="AC7" s="53">
        <v>0.187</v>
      </c>
      <c r="AD7" s="53">
        <v>0.17499999999999999</v>
      </c>
      <c r="AE7" s="53">
        <v>0.16600000000000001</v>
      </c>
      <c r="AF7" s="53">
        <v>0.159</v>
      </c>
      <c r="AH7" s="54">
        <f>SLOPE($W7:$AF7,$W$3:$AF$3)</f>
        <v>-1.2163636363636364E-2</v>
      </c>
      <c r="AI7" s="54">
        <f>INTERCEPT($W7:$AF7,$W$3:$AF$3)</f>
        <v>24.845745454545458</v>
      </c>
    </row>
    <row r="8" spans="1:35" s="54" customFormat="1" ht="16.5" customHeight="1">
      <c r="A8" s="52" t="s">
        <v>595</v>
      </c>
      <c r="B8" s="53">
        <v>20.36</v>
      </c>
      <c r="C8" s="53">
        <v>19.274999999999999</v>
      </c>
      <c r="D8" s="53">
        <v>17.597000000000001</v>
      </c>
      <c r="E8" s="53">
        <v>16.411000000000001</v>
      </c>
      <c r="F8" s="53">
        <v>14.852</v>
      </c>
      <c r="G8" s="53">
        <v>13.456</v>
      </c>
      <c r="H8" s="53">
        <v>12.464</v>
      </c>
      <c r="I8" s="53">
        <v>11.334</v>
      </c>
      <c r="J8" s="53">
        <v>10.545</v>
      </c>
      <c r="K8" s="53">
        <v>9.8480000000000008</v>
      </c>
      <c r="L8" s="53">
        <v>9.2799999999999994</v>
      </c>
      <c r="M8" s="53">
        <v>8.4410000000000007</v>
      </c>
      <c r="N8" s="53">
        <v>7.07</v>
      </c>
      <c r="O8" s="53">
        <v>6.5330000000000004</v>
      </c>
      <c r="P8" s="53">
        <v>6.2119999999999997</v>
      </c>
      <c r="Q8" s="53">
        <v>5.7629999999999999</v>
      </c>
      <c r="R8" s="53">
        <v>5.2240000000000002</v>
      </c>
      <c r="S8" s="53">
        <v>4.875</v>
      </c>
      <c r="T8" s="53">
        <v>4.6459999999999999</v>
      </c>
      <c r="U8" s="53">
        <v>4.3959999999999999</v>
      </c>
      <c r="V8" s="53">
        <v>4.1520000000000001</v>
      </c>
      <c r="W8" s="53">
        <v>3.956</v>
      </c>
      <c r="X8" s="53">
        <v>3.8119999999999998</v>
      </c>
      <c r="Y8" s="53">
        <v>3.6640000000000001</v>
      </c>
      <c r="Z8" s="53">
        <v>3.5339999999999998</v>
      </c>
      <c r="AA8" s="53">
        <v>3.359</v>
      </c>
      <c r="AB8" s="53">
        <v>3.1709999999999998</v>
      </c>
      <c r="AC8" s="53">
        <v>3.0049999999999999</v>
      </c>
      <c r="AD8" s="53">
        <v>2.8450000000000002</v>
      </c>
      <c r="AE8" s="53">
        <v>2.6680000000000001</v>
      </c>
      <c r="AF8" s="53">
        <v>2.508</v>
      </c>
      <c r="AH8" s="54">
        <f t="shared" ref="AH8:AH62" si="0">SLOPE($W8:$AF8,$W$3:$AF$3)</f>
        <v>-0.16309090909090909</v>
      </c>
      <c r="AI8" s="54">
        <f t="shared" ref="AI8:AI62" si="1">INTERCEPT($W8:$AF8,$W$3:$AF$3)</f>
        <v>333.59283636363637</v>
      </c>
    </row>
    <row r="9" spans="1:35" s="55" customFormat="1" ht="16.5" customHeight="1">
      <c r="A9" s="52" t="s">
        <v>596</v>
      </c>
      <c r="B9" s="53">
        <v>2.173</v>
      </c>
      <c r="C9" s="53">
        <v>2.0859999999999999</v>
      </c>
      <c r="D9" s="53">
        <v>1.9710000000000001</v>
      </c>
      <c r="E9" s="53">
        <v>1.87</v>
      </c>
      <c r="F9" s="53">
        <v>1.6679999999999999</v>
      </c>
      <c r="G9" s="53">
        <v>1.4750000000000001</v>
      </c>
      <c r="H9" s="53">
        <v>1.35</v>
      </c>
      <c r="I9" s="53">
        <v>1.2</v>
      </c>
      <c r="J9" s="53">
        <v>1.133</v>
      </c>
      <c r="K9" s="53">
        <v>1.048</v>
      </c>
      <c r="L9" s="53">
        <v>0.95099999999999996</v>
      </c>
      <c r="M9" s="53">
        <v>0.82799999999999996</v>
      </c>
      <c r="N9" s="53">
        <v>0.63</v>
      </c>
      <c r="O9" s="53">
        <v>0.56200000000000006</v>
      </c>
      <c r="P9" s="53">
        <v>0.47899999999999998</v>
      </c>
      <c r="Q9" s="53">
        <v>0.40100000000000002</v>
      </c>
      <c r="R9" s="53">
        <v>0.34300000000000003</v>
      </c>
      <c r="S9" s="53">
        <v>0.28999999999999998</v>
      </c>
      <c r="T9" s="53">
        <v>0.25600000000000001</v>
      </c>
      <c r="U9" s="53">
        <v>0.215</v>
      </c>
      <c r="V9" s="53">
        <v>0.192</v>
      </c>
      <c r="W9" s="53">
        <v>0.17299999999999999</v>
      </c>
      <c r="X9" s="53">
        <v>0.157</v>
      </c>
      <c r="Y9" s="53">
        <v>0.14299999999999999</v>
      </c>
      <c r="Z9" s="53">
        <v>0.11700000000000001</v>
      </c>
      <c r="AA9" s="53">
        <v>0.10299999999999999</v>
      </c>
      <c r="AB9" s="53">
        <v>8.7999999999999995E-2</v>
      </c>
      <c r="AC9" s="53">
        <v>8.1000000000000003E-2</v>
      </c>
      <c r="AD9" s="53">
        <v>7.0000000000000007E-2</v>
      </c>
      <c r="AE9" s="53">
        <v>6.3E-2</v>
      </c>
      <c r="AF9" s="53">
        <v>5.3999999999999999E-2</v>
      </c>
      <c r="AH9" s="54">
        <f t="shared" si="0"/>
        <v>-1.3436363636363633E-2</v>
      </c>
      <c r="AI9" s="54">
        <f t="shared" si="1"/>
        <v>27.320254545454539</v>
      </c>
    </row>
    <row r="10" spans="1:35" s="48" customFormat="1" ht="16.5" customHeight="1">
      <c r="A10" s="52" t="s">
        <v>597</v>
      </c>
      <c r="B10" s="53">
        <v>2.1999999999999999E-2</v>
      </c>
      <c r="C10" s="53">
        <v>2.1999999999999999E-2</v>
      </c>
      <c r="D10" s="53">
        <v>0.02</v>
      </c>
      <c r="E10" s="53">
        <v>1.9E-2</v>
      </c>
      <c r="F10" s="53">
        <v>1.7000000000000001E-2</v>
      </c>
      <c r="G10" s="53">
        <v>1.6E-2</v>
      </c>
      <c r="H10" s="53">
        <v>1.4999999999999999E-2</v>
      </c>
      <c r="I10" s="53">
        <v>1.4E-2</v>
      </c>
      <c r="J10" s="53">
        <v>1.2999999999999999E-2</v>
      </c>
      <c r="K10" s="53">
        <v>1.2E-2</v>
      </c>
      <c r="L10" s="53">
        <v>1.0999999999999999E-2</v>
      </c>
      <c r="M10" s="53">
        <v>0.01</v>
      </c>
      <c r="N10" s="53">
        <v>8.0000000000000002E-3</v>
      </c>
      <c r="O10" s="53">
        <v>7.0000000000000001E-3</v>
      </c>
      <c r="P10" s="53">
        <v>6.0000000000000001E-3</v>
      </c>
      <c r="Q10" s="53">
        <v>6.0000000000000001E-3</v>
      </c>
      <c r="R10" s="53">
        <v>5.0000000000000001E-3</v>
      </c>
      <c r="S10" s="53">
        <v>5.0000000000000001E-3</v>
      </c>
      <c r="T10" s="53">
        <v>5.0000000000000001E-3</v>
      </c>
      <c r="U10" s="53">
        <v>4.0000000000000001E-3</v>
      </c>
      <c r="V10" s="53">
        <v>4.0000000000000001E-3</v>
      </c>
      <c r="W10" s="53">
        <v>4.0000000000000001E-3</v>
      </c>
      <c r="X10" s="53">
        <v>4.0000000000000001E-3</v>
      </c>
      <c r="Y10" s="53">
        <v>4.0000000000000001E-3</v>
      </c>
      <c r="Z10" s="53">
        <v>4.0000000000000001E-3</v>
      </c>
      <c r="AA10" s="53">
        <v>4.0000000000000001E-3</v>
      </c>
      <c r="AB10" s="53">
        <v>4.0000000000000001E-3</v>
      </c>
      <c r="AC10" s="53">
        <v>4.0000000000000001E-3</v>
      </c>
      <c r="AD10" s="53">
        <v>4.0000000000000001E-3</v>
      </c>
      <c r="AE10" s="53">
        <v>4.0000000000000001E-3</v>
      </c>
      <c r="AF10" s="53">
        <v>4.0000000000000001E-3</v>
      </c>
      <c r="AH10" s="54">
        <f t="shared" si="0"/>
        <v>0</v>
      </c>
      <c r="AI10" s="54">
        <f t="shared" si="1"/>
        <v>4.000000000000001E-3</v>
      </c>
    </row>
    <row r="11" spans="1:35" s="48" customFormat="1" ht="16.5" customHeight="1">
      <c r="A11" s="52" t="s">
        <v>598</v>
      </c>
      <c r="B11" s="53">
        <v>3.0000000000000001E-3</v>
      </c>
      <c r="C11" s="53">
        <v>3.0000000000000001E-3</v>
      </c>
      <c r="D11" s="53">
        <v>3.0000000000000001E-3</v>
      </c>
      <c r="E11" s="53">
        <v>3.0000000000000001E-3</v>
      </c>
      <c r="F11" s="53">
        <v>3.0000000000000001E-3</v>
      </c>
      <c r="G11" s="53">
        <v>3.0000000000000001E-3</v>
      </c>
      <c r="H11" s="53">
        <v>3.0000000000000001E-3</v>
      </c>
      <c r="I11" s="53">
        <v>3.0000000000000001E-3</v>
      </c>
      <c r="J11" s="53">
        <v>3.0000000000000001E-3</v>
      </c>
      <c r="K11" s="53">
        <v>3.0000000000000001E-3</v>
      </c>
      <c r="L11" s="53">
        <v>3.0000000000000001E-3</v>
      </c>
      <c r="M11" s="53">
        <v>3.0000000000000001E-3</v>
      </c>
      <c r="N11" s="53">
        <v>3.0000000000000001E-3</v>
      </c>
      <c r="O11" s="53">
        <v>3.0000000000000001E-3</v>
      </c>
      <c r="P11" s="53">
        <v>3.0000000000000001E-3</v>
      </c>
      <c r="Q11" s="53">
        <v>3.0000000000000001E-3</v>
      </c>
      <c r="R11" s="53">
        <v>3.0000000000000001E-3</v>
      </c>
      <c r="S11" s="53">
        <v>3.0000000000000001E-3</v>
      </c>
      <c r="T11" s="53">
        <v>3.0000000000000001E-3</v>
      </c>
      <c r="U11" s="53">
        <v>3.0000000000000001E-3</v>
      </c>
      <c r="V11" s="53">
        <v>3.0000000000000001E-3</v>
      </c>
      <c r="W11" s="53">
        <v>3.0000000000000001E-3</v>
      </c>
      <c r="X11" s="53">
        <v>3.0000000000000001E-3</v>
      </c>
      <c r="Y11" s="53">
        <v>3.0000000000000001E-3</v>
      </c>
      <c r="Z11" s="53">
        <v>3.0000000000000001E-3</v>
      </c>
      <c r="AA11" s="53">
        <v>3.0000000000000001E-3</v>
      </c>
      <c r="AB11" s="53">
        <v>3.0000000000000001E-3</v>
      </c>
      <c r="AC11" s="53">
        <v>3.0000000000000001E-3</v>
      </c>
      <c r="AD11" s="53">
        <v>3.0000000000000001E-3</v>
      </c>
      <c r="AE11" s="53">
        <v>3.0000000000000001E-3</v>
      </c>
      <c r="AF11" s="53">
        <v>3.0000000000000001E-3</v>
      </c>
      <c r="AH11" s="54">
        <f t="shared" si="0"/>
        <v>0</v>
      </c>
      <c r="AI11" s="54">
        <f t="shared" si="1"/>
        <v>2.9999999999999996E-3</v>
      </c>
    </row>
    <row r="12" spans="1:35" s="48" customFormat="1" ht="16.5" customHeight="1">
      <c r="A12" s="52" t="s">
        <v>599</v>
      </c>
      <c r="B12" s="53">
        <v>1E-3</v>
      </c>
      <c r="C12" s="53">
        <v>1E-3</v>
      </c>
      <c r="D12" s="53">
        <v>1E-3</v>
      </c>
      <c r="E12" s="53">
        <v>1E-3</v>
      </c>
      <c r="F12" s="53">
        <v>1E-3</v>
      </c>
      <c r="G12" s="53">
        <v>1E-3</v>
      </c>
      <c r="H12" s="53">
        <v>1E-3</v>
      </c>
      <c r="I12" s="53">
        <v>1E-3</v>
      </c>
      <c r="J12" s="53">
        <v>1E-3</v>
      </c>
      <c r="K12" s="53">
        <v>1E-3</v>
      </c>
      <c r="L12" s="53">
        <v>1E-3</v>
      </c>
      <c r="M12" s="53">
        <v>1E-3</v>
      </c>
      <c r="N12" s="53">
        <v>1E-3</v>
      </c>
      <c r="O12" s="53">
        <v>1E-3</v>
      </c>
      <c r="P12" s="53">
        <v>1E-3</v>
      </c>
      <c r="Q12" s="53">
        <v>1E-3</v>
      </c>
      <c r="R12" s="53">
        <v>1E-3</v>
      </c>
      <c r="S12" s="53">
        <v>1E-3</v>
      </c>
      <c r="T12" s="53">
        <v>1E-3</v>
      </c>
      <c r="U12" s="53">
        <v>1E-3</v>
      </c>
      <c r="V12" s="53">
        <v>1E-3</v>
      </c>
      <c r="W12" s="53">
        <v>1E-3</v>
      </c>
      <c r="X12" s="53">
        <v>1E-3</v>
      </c>
      <c r="Y12" s="53">
        <v>1E-3</v>
      </c>
      <c r="Z12" s="53">
        <v>1E-3</v>
      </c>
      <c r="AA12" s="53">
        <v>1E-3</v>
      </c>
      <c r="AB12" s="53">
        <v>1E-3</v>
      </c>
      <c r="AC12" s="53">
        <v>1E-3</v>
      </c>
      <c r="AD12" s="53">
        <v>1E-3</v>
      </c>
      <c r="AE12" s="53">
        <v>1E-3</v>
      </c>
      <c r="AF12" s="53">
        <v>1E-3</v>
      </c>
      <c r="AH12" s="54">
        <f t="shared" si="0"/>
        <v>0</v>
      </c>
      <c r="AI12" s="54">
        <f t="shared" si="1"/>
        <v>1.0000000000000002E-3</v>
      </c>
    </row>
    <row r="13" spans="1:35" s="48" customFormat="1" ht="16.5" customHeight="1">
      <c r="A13" s="51" t="s">
        <v>600</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H13" s="54"/>
      <c r="AI13" s="54"/>
    </row>
    <row r="14" spans="1:35" s="48" customFormat="1" ht="16.5" customHeight="1">
      <c r="A14" s="52" t="s">
        <v>594</v>
      </c>
      <c r="B14" s="53">
        <v>2.4540000000000002</v>
      </c>
      <c r="C14" s="53">
        <v>2.246</v>
      </c>
      <c r="D14" s="53">
        <v>1.964</v>
      </c>
      <c r="E14" s="53">
        <v>1.754</v>
      </c>
      <c r="F14" s="53">
        <v>1.5109999999999999</v>
      </c>
      <c r="G14" s="53">
        <v>1.2969999999999999</v>
      </c>
      <c r="H14" s="53">
        <v>1.165</v>
      </c>
      <c r="I14" s="53">
        <v>1.024</v>
      </c>
      <c r="J14" s="53">
        <v>0.92500000000000004</v>
      </c>
      <c r="K14" s="53">
        <v>0.86899999999999999</v>
      </c>
      <c r="L14" s="53">
        <v>0.80400000000000005</v>
      </c>
      <c r="M14" s="53">
        <v>0.76100000000000001</v>
      </c>
      <c r="N14" s="53">
        <v>0.73699999999999999</v>
      </c>
      <c r="O14" s="53">
        <v>0.67800000000000005</v>
      </c>
      <c r="P14" s="53">
        <v>0.63</v>
      </c>
      <c r="Q14" s="53">
        <v>0.57399999999999995</v>
      </c>
      <c r="R14" s="53">
        <v>0.503</v>
      </c>
      <c r="S14" s="53">
        <v>0.45800000000000002</v>
      </c>
      <c r="T14" s="53">
        <v>0.41799999999999998</v>
      </c>
      <c r="U14" s="53">
        <v>0.377</v>
      </c>
      <c r="V14" s="53">
        <v>0.33900000000000002</v>
      </c>
      <c r="W14" s="53">
        <v>0.317</v>
      </c>
      <c r="X14" s="53">
        <v>0.29899999999999999</v>
      </c>
      <c r="Y14" s="53">
        <v>0.28100000000000003</v>
      </c>
      <c r="Z14" s="53">
        <v>0.26100000000000001</v>
      </c>
      <c r="AA14" s="53">
        <v>0.246</v>
      </c>
      <c r="AB14" s="53">
        <v>0.22</v>
      </c>
      <c r="AC14" s="53">
        <v>0.20699999999999999</v>
      </c>
      <c r="AD14" s="53">
        <v>0.19500000000000001</v>
      </c>
      <c r="AE14" s="53">
        <v>0.184</v>
      </c>
      <c r="AF14" s="53">
        <v>0.17499999999999999</v>
      </c>
      <c r="AH14" s="54">
        <f t="shared" si="0"/>
        <v>-1.6369696969696972E-2</v>
      </c>
      <c r="AI14" s="54">
        <f t="shared" si="1"/>
        <v>33.395321212121218</v>
      </c>
    </row>
    <row r="15" spans="1:35" s="56" customFormat="1" ht="16.5" customHeight="1">
      <c r="A15" s="52" t="s">
        <v>595</v>
      </c>
      <c r="B15" s="53">
        <v>30.622</v>
      </c>
      <c r="C15" s="53">
        <v>27.97</v>
      </c>
      <c r="D15" s="53">
        <v>24.475999999999999</v>
      </c>
      <c r="E15" s="53">
        <v>21.986999999999998</v>
      </c>
      <c r="F15" s="53">
        <v>19.452999999999999</v>
      </c>
      <c r="G15" s="53">
        <v>17.119</v>
      </c>
      <c r="H15" s="53">
        <v>15.616</v>
      </c>
      <c r="I15" s="53">
        <v>13.79</v>
      </c>
      <c r="J15" s="53">
        <v>12.348000000000001</v>
      </c>
      <c r="K15" s="53">
        <v>11.66</v>
      </c>
      <c r="L15" s="53">
        <v>11.087999999999999</v>
      </c>
      <c r="M15" s="53">
        <v>10.677</v>
      </c>
      <c r="N15" s="53">
        <v>10.351000000000001</v>
      </c>
      <c r="O15" s="53">
        <v>9.7680000000000007</v>
      </c>
      <c r="P15" s="53">
        <v>9.3439999999999994</v>
      </c>
      <c r="Q15" s="53">
        <v>8.6630000000000003</v>
      </c>
      <c r="R15" s="53">
        <v>7.5060000000000002</v>
      </c>
      <c r="S15" s="53">
        <v>6.9340000000000002</v>
      </c>
      <c r="T15" s="53">
        <v>6.4480000000000004</v>
      </c>
      <c r="U15" s="53">
        <v>5.9550000000000001</v>
      </c>
      <c r="V15" s="53">
        <v>5.4219999999999997</v>
      </c>
      <c r="W15" s="53">
        <v>5.0460000000000003</v>
      </c>
      <c r="X15" s="53">
        <v>4.7699999999999996</v>
      </c>
      <c r="Y15" s="53">
        <v>4.5069999999999997</v>
      </c>
      <c r="Z15" s="53">
        <v>4.2530000000000001</v>
      </c>
      <c r="AA15" s="53">
        <v>4.0129999999999999</v>
      </c>
      <c r="AB15" s="53">
        <v>3.6970000000000001</v>
      </c>
      <c r="AC15" s="53">
        <v>3.5009999999999999</v>
      </c>
      <c r="AD15" s="53">
        <v>3.2690000000000001</v>
      </c>
      <c r="AE15" s="53">
        <v>3.0539999999999998</v>
      </c>
      <c r="AF15" s="53">
        <v>2.883</v>
      </c>
      <c r="AH15" s="54">
        <f t="shared" si="0"/>
        <v>-0.24388484848484848</v>
      </c>
      <c r="AI15" s="54">
        <f t="shared" si="1"/>
        <v>497.88806060606061</v>
      </c>
    </row>
    <row r="16" spans="1:35" s="48" customFormat="1" ht="16.5" customHeight="1">
      <c r="A16" s="52" t="s">
        <v>596</v>
      </c>
      <c r="B16" s="53">
        <v>3.3039999999999998</v>
      </c>
      <c r="C16" s="53">
        <v>3.1160000000000001</v>
      </c>
      <c r="D16" s="53">
        <v>2.855</v>
      </c>
      <c r="E16" s="53">
        <v>2.629</v>
      </c>
      <c r="F16" s="53">
        <v>2.3050000000000002</v>
      </c>
      <c r="G16" s="53">
        <v>2.0019999999999998</v>
      </c>
      <c r="H16" s="53">
        <v>1.841</v>
      </c>
      <c r="I16" s="53">
        <v>1.6279999999999999</v>
      </c>
      <c r="J16" s="53">
        <v>1.512</v>
      </c>
      <c r="K16" s="53">
        <v>1.4330000000000001</v>
      </c>
      <c r="L16" s="53">
        <v>1.333</v>
      </c>
      <c r="M16" s="53">
        <v>1.2430000000000001</v>
      </c>
      <c r="N16" s="53">
        <v>1.1819999999999999</v>
      </c>
      <c r="O16" s="53">
        <v>1.0589999999999999</v>
      </c>
      <c r="P16" s="53">
        <v>0.93799999999999994</v>
      </c>
      <c r="Q16" s="53">
        <v>0.81699999999999995</v>
      </c>
      <c r="R16" s="53">
        <v>0.70299999999999996</v>
      </c>
      <c r="S16" s="53">
        <v>0.60699999999999998</v>
      </c>
      <c r="T16" s="53">
        <v>0.53300000000000003</v>
      </c>
      <c r="U16" s="53">
        <v>0.44500000000000001</v>
      </c>
      <c r="V16" s="53">
        <v>0.376</v>
      </c>
      <c r="W16" s="53">
        <v>0.33400000000000002</v>
      </c>
      <c r="X16" s="53">
        <v>0.29799999999999999</v>
      </c>
      <c r="Y16" s="53">
        <v>0.26600000000000001</v>
      </c>
      <c r="Z16" s="53">
        <v>0.22700000000000001</v>
      </c>
      <c r="AA16" s="53">
        <v>0.20100000000000001</v>
      </c>
      <c r="AB16" s="53">
        <v>0.16400000000000001</v>
      </c>
      <c r="AC16" s="53">
        <v>0.14499999999999999</v>
      </c>
      <c r="AD16" s="53">
        <v>0.127</v>
      </c>
      <c r="AE16" s="53">
        <v>0.10299999999999999</v>
      </c>
      <c r="AF16" s="53">
        <v>8.8999999999999996E-2</v>
      </c>
      <c r="AH16" s="54">
        <f t="shared" si="0"/>
        <v>-2.7563636363636363E-2</v>
      </c>
      <c r="AI16" s="54">
        <f t="shared" si="1"/>
        <v>56.025545454545451</v>
      </c>
    </row>
    <row r="17" spans="1:35" s="48" customFormat="1" ht="16.5" customHeight="1">
      <c r="A17" s="52" t="s">
        <v>597</v>
      </c>
      <c r="B17" s="53">
        <v>2.8000000000000001E-2</v>
      </c>
      <c r="C17" s="53">
        <v>2.5999999999999999E-2</v>
      </c>
      <c r="D17" s="53">
        <v>2.1999999999999999E-2</v>
      </c>
      <c r="E17" s="53">
        <v>0.02</v>
      </c>
      <c r="F17" s="53">
        <v>1.7999999999999999E-2</v>
      </c>
      <c r="G17" s="53">
        <v>1.6E-2</v>
      </c>
      <c r="H17" s="53">
        <v>1.4E-2</v>
      </c>
      <c r="I17" s="53">
        <v>1.2999999999999999E-2</v>
      </c>
      <c r="J17" s="53">
        <v>1.2E-2</v>
      </c>
      <c r="K17" s="53">
        <v>1.2E-2</v>
      </c>
      <c r="L17" s="53">
        <v>1.0999999999999999E-2</v>
      </c>
      <c r="M17" s="53">
        <v>0.01</v>
      </c>
      <c r="N17" s="53">
        <v>0.01</v>
      </c>
      <c r="O17" s="53">
        <v>8.9999999999999993E-3</v>
      </c>
      <c r="P17" s="53">
        <v>8.0000000000000002E-3</v>
      </c>
      <c r="Q17" s="53">
        <v>8.0000000000000002E-3</v>
      </c>
      <c r="R17" s="53">
        <v>7.0000000000000001E-3</v>
      </c>
      <c r="S17" s="53">
        <v>7.0000000000000001E-3</v>
      </c>
      <c r="T17" s="53">
        <v>7.0000000000000001E-3</v>
      </c>
      <c r="U17" s="53">
        <v>7.0000000000000001E-3</v>
      </c>
      <c r="V17" s="53">
        <v>7.0000000000000001E-3</v>
      </c>
      <c r="W17" s="53">
        <v>6.0000000000000001E-3</v>
      </c>
      <c r="X17" s="53">
        <v>6.0000000000000001E-3</v>
      </c>
      <c r="Y17" s="53">
        <v>6.0000000000000001E-3</v>
      </c>
      <c r="Z17" s="53">
        <v>6.0000000000000001E-3</v>
      </c>
      <c r="AA17" s="53">
        <v>6.0000000000000001E-3</v>
      </c>
      <c r="AB17" s="53">
        <v>6.0000000000000001E-3</v>
      </c>
      <c r="AC17" s="53">
        <v>5.0000000000000001E-3</v>
      </c>
      <c r="AD17" s="53">
        <v>5.0000000000000001E-3</v>
      </c>
      <c r="AE17" s="53">
        <v>5.0000000000000001E-3</v>
      </c>
      <c r="AF17" s="53">
        <v>5.0000000000000001E-3</v>
      </c>
      <c r="AH17" s="54">
        <f t="shared" si="0"/>
        <v>-1.4545454545454546E-4</v>
      </c>
      <c r="AI17" s="54">
        <f t="shared" si="1"/>
        <v>0.30021818181818183</v>
      </c>
    </row>
    <row r="18" spans="1:35" s="48" customFormat="1" ht="16.5" customHeight="1">
      <c r="A18" s="52" t="s">
        <v>598</v>
      </c>
      <c r="B18" s="53">
        <v>3.0000000000000001E-3</v>
      </c>
      <c r="C18" s="53">
        <v>3.0000000000000001E-3</v>
      </c>
      <c r="D18" s="53">
        <v>3.0000000000000001E-3</v>
      </c>
      <c r="E18" s="53">
        <v>3.0000000000000001E-3</v>
      </c>
      <c r="F18" s="53">
        <v>3.0000000000000001E-3</v>
      </c>
      <c r="G18" s="53">
        <v>3.0000000000000001E-3</v>
      </c>
      <c r="H18" s="53">
        <v>3.0000000000000001E-3</v>
      </c>
      <c r="I18" s="53">
        <v>3.0000000000000001E-3</v>
      </c>
      <c r="J18" s="53">
        <v>3.0000000000000001E-3</v>
      </c>
      <c r="K18" s="53">
        <v>3.0000000000000001E-3</v>
      </c>
      <c r="L18" s="53">
        <v>3.0000000000000001E-3</v>
      </c>
      <c r="M18" s="53">
        <v>3.0000000000000001E-3</v>
      </c>
      <c r="N18" s="53">
        <v>3.0000000000000001E-3</v>
      </c>
      <c r="O18" s="53">
        <v>3.0000000000000001E-3</v>
      </c>
      <c r="P18" s="53">
        <v>3.0000000000000001E-3</v>
      </c>
      <c r="Q18" s="53">
        <v>3.0000000000000001E-3</v>
      </c>
      <c r="R18" s="53">
        <v>3.0000000000000001E-3</v>
      </c>
      <c r="S18" s="53">
        <v>3.0000000000000001E-3</v>
      </c>
      <c r="T18" s="53">
        <v>3.0000000000000001E-3</v>
      </c>
      <c r="U18" s="53">
        <v>3.0000000000000001E-3</v>
      </c>
      <c r="V18" s="53">
        <v>3.0000000000000001E-3</v>
      </c>
      <c r="W18" s="53">
        <v>3.0000000000000001E-3</v>
      </c>
      <c r="X18" s="53">
        <v>3.0000000000000001E-3</v>
      </c>
      <c r="Y18" s="53">
        <v>3.0000000000000001E-3</v>
      </c>
      <c r="Z18" s="53">
        <v>3.0000000000000001E-3</v>
      </c>
      <c r="AA18" s="53">
        <v>3.0000000000000001E-3</v>
      </c>
      <c r="AB18" s="53">
        <v>3.0000000000000001E-3</v>
      </c>
      <c r="AC18" s="53">
        <v>3.0000000000000001E-3</v>
      </c>
      <c r="AD18" s="53">
        <v>3.0000000000000001E-3</v>
      </c>
      <c r="AE18" s="53">
        <v>3.0000000000000001E-3</v>
      </c>
      <c r="AF18" s="53">
        <v>3.0000000000000001E-3</v>
      </c>
      <c r="AH18" s="54">
        <f t="shared" si="0"/>
        <v>0</v>
      </c>
      <c r="AI18" s="54">
        <f t="shared" si="1"/>
        <v>2.9999999999999996E-3</v>
      </c>
    </row>
    <row r="19" spans="1:35" s="48" customFormat="1" ht="16.5" customHeight="1">
      <c r="A19" s="52" t="s">
        <v>599</v>
      </c>
      <c r="B19" s="53">
        <v>1E-3</v>
      </c>
      <c r="C19" s="53">
        <v>1E-3</v>
      </c>
      <c r="D19" s="53">
        <v>1E-3</v>
      </c>
      <c r="E19" s="53">
        <v>1E-3</v>
      </c>
      <c r="F19" s="53">
        <v>1E-3</v>
      </c>
      <c r="G19" s="53">
        <v>1E-3</v>
      </c>
      <c r="H19" s="53">
        <v>1E-3</v>
      </c>
      <c r="I19" s="53">
        <v>1E-3</v>
      </c>
      <c r="J19" s="53">
        <v>1E-3</v>
      </c>
      <c r="K19" s="53">
        <v>1E-3</v>
      </c>
      <c r="L19" s="53">
        <v>1E-3</v>
      </c>
      <c r="M19" s="53">
        <v>1E-3</v>
      </c>
      <c r="N19" s="53">
        <v>1E-3</v>
      </c>
      <c r="O19" s="53">
        <v>1E-3</v>
      </c>
      <c r="P19" s="53">
        <v>1E-3</v>
      </c>
      <c r="Q19" s="53">
        <v>1E-3</v>
      </c>
      <c r="R19" s="53">
        <v>1E-3</v>
      </c>
      <c r="S19" s="53">
        <v>1E-3</v>
      </c>
      <c r="T19" s="53">
        <v>1E-3</v>
      </c>
      <c r="U19" s="53">
        <v>1E-3</v>
      </c>
      <c r="V19" s="53">
        <v>1E-3</v>
      </c>
      <c r="W19" s="53">
        <v>1E-3</v>
      </c>
      <c r="X19" s="53">
        <v>1E-3</v>
      </c>
      <c r="Y19" s="53">
        <v>1E-3</v>
      </c>
      <c r="Z19" s="53">
        <v>1E-3</v>
      </c>
      <c r="AA19" s="53">
        <v>1E-3</v>
      </c>
      <c r="AB19" s="53">
        <v>1E-3</v>
      </c>
      <c r="AC19" s="53">
        <v>1E-3</v>
      </c>
      <c r="AD19" s="53">
        <v>1E-3</v>
      </c>
      <c r="AE19" s="53">
        <v>1E-3</v>
      </c>
      <c r="AF19" s="53">
        <v>1E-3</v>
      </c>
      <c r="AH19" s="54">
        <f t="shared" si="0"/>
        <v>0</v>
      </c>
      <c r="AI19" s="54">
        <f t="shared" si="1"/>
        <v>1.0000000000000002E-3</v>
      </c>
    </row>
    <row r="20" spans="1:35" s="48" customFormat="1" ht="16.5" customHeight="1">
      <c r="A20" s="51" t="s">
        <v>601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H20" s="54"/>
      <c r="AI20" s="54"/>
    </row>
    <row r="21" spans="1:35" s="56" customFormat="1" ht="16.5" customHeight="1">
      <c r="A21" s="52" t="s">
        <v>594</v>
      </c>
      <c r="B21" s="53">
        <v>3.9470000000000001</v>
      </c>
      <c r="C21" s="53">
        <v>3.8450000000000002</v>
      </c>
      <c r="D21" s="53">
        <v>3.6280000000000001</v>
      </c>
      <c r="E21" s="53">
        <v>3.5070000000000001</v>
      </c>
      <c r="F21" s="53">
        <v>3.1709999999999998</v>
      </c>
      <c r="G21" s="53">
        <v>2.9329999999999998</v>
      </c>
      <c r="H21" s="53">
        <v>2.6560000000000001</v>
      </c>
      <c r="I21" s="53">
        <v>2.5640000000000001</v>
      </c>
      <c r="J21" s="53">
        <v>2.262</v>
      </c>
      <c r="K21" s="53">
        <v>2.2160000000000002</v>
      </c>
      <c r="L21" s="53">
        <v>2.202</v>
      </c>
      <c r="M21" s="53">
        <v>2.0299999999999998</v>
      </c>
      <c r="N21" s="53">
        <v>1.9410000000000001</v>
      </c>
      <c r="O21" s="53">
        <v>1.8340000000000001</v>
      </c>
      <c r="P21" s="53">
        <v>1.734</v>
      </c>
      <c r="Q21" s="53">
        <v>1.631</v>
      </c>
      <c r="R21" s="53">
        <v>1.5389999999999999</v>
      </c>
      <c r="S21" s="53">
        <v>1.476</v>
      </c>
      <c r="T21" s="53">
        <v>1.375</v>
      </c>
      <c r="U21" s="53">
        <v>1.264</v>
      </c>
      <c r="V21" s="53">
        <v>1.161</v>
      </c>
      <c r="W21" s="53">
        <v>1.1100000000000001</v>
      </c>
      <c r="X21" s="53">
        <v>1.077</v>
      </c>
      <c r="Y21" s="53">
        <v>1.0229999999999999</v>
      </c>
      <c r="Z21" s="53">
        <v>0.98</v>
      </c>
      <c r="AA21" s="53">
        <v>0.95499999999999996</v>
      </c>
      <c r="AB21" s="53">
        <v>0.88</v>
      </c>
      <c r="AC21" s="53">
        <v>0.85399999999999998</v>
      </c>
      <c r="AD21" s="53">
        <v>0.81200000000000006</v>
      </c>
      <c r="AE21" s="53">
        <v>0.79200000000000004</v>
      </c>
      <c r="AF21" s="53">
        <v>0.755</v>
      </c>
      <c r="AH21" s="54">
        <f t="shared" si="0"/>
        <v>-4.0593939393939391E-2</v>
      </c>
      <c r="AI21" s="54">
        <f t="shared" si="1"/>
        <v>83.146824242424231</v>
      </c>
    </row>
    <row r="22" spans="1:35" s="48" customFormat="1" ht="16.5" customHeight="1">
      <c r="A22" s="52" t="s">
        <v>595</v>
      </c>
      <c r="B22" s="53">
        <v>54.487000000000002</v>
      </c>
      <c r="C22" s="53">
        <v>54.662999999999997</v>
      </c>
      <c r="D22" s="53">
        <v>52.865000000000002</v>
      </c>
      <c r="E22" s="53">
        <v>52.832999999999998</v>
      </c>
      <c r="F22" s="53">
        <v>47.924999999999997</v>
      </c>
      <c r="G22" s="53">
        <v>44.216999999999999</v>
      </c>
      <c r="H22" s="53">
        <v>40.457999999999998</v>
      </c>
      <c r="I22" s="53">
        <v>38.097000000000001</v>
      </c>
      <c r="J22" s="53">
        <v>34.093000000000004</v>
      </c>
      <c r="K22" s="53">
        <v>32.536999999999999</v>
      </c>
      <c r="L22" s="53">
        <v>32.115000000000002</v>
      </c>
      <c r="M22" s="53">
        <v>29.579000000000001</v>
      </c>
      <c r="N22" s="53">
        <v>28.28</v>
      </c>
      <c r="O22" s="53">
        <v>26.626999999999999</v>
      </c>
      <c r="P22" s="53">
        <v>25.227</v>
      </c>
      <c r="Q22" s="53">
        <v>23.14</v>
      </c>
      <c r="R22" s="53">
        <v>21.148</v>
      </c>
      <c r="S22" s="53">
        <v>19.847000000000001</v>
      </c>
      <c r="T22" s="53">
        <v>18.407</v>
      </c>
      <c r="U22" s="53">
        <v>16.408000000000001</v>
      </c>
      <c r="V22" s="53">
        <v>14.894</v>
      </c>
      <c r="W22" s="53">
        <v>14.103999999999999</v>
      </c>
      <c r="X22" s="53">
        <v>13.459</v>
      </c>
      <c r="Y22" s="53">
        <v>12.894</v>
      </c>
      <c r="Z22" s="53">
        <v>12.406000000000001</v>
      </c>
      <c r="AA22" s="53">
        <v>12.044</v>
      </c>
      <c r="AB22" s="53">
        <v>11.635999999999999</v>
      </c>
      <c r="AC22" s="53">
        <v>11.257</v>
      </c>
      <c r="AD22" s="53">
        <v>10.727</v>
      </c>
      <c r="AE22" s="53">
        <v>10.545999999999999</v>
      </c>
      <c r="AF22" s="53">
        <v>10.319000000000001</v>
      </c>
      <c r="AH22" s="54">
        <f t="shared" si="0"/>
        <v>-0.4190666666666667</v>
      </c>
      <c r="AI22" s="54">
        <f t="shared" si="1"/>
        <v>860.75873333333345</v>
      </c>
    </row>
    <row r="23" spans="1:35" s="48" customFormat="1" ht="16.5" customHeight="1">
      <c r="A23" s="52" t="s">
        <v>596</v>
      </c>
      <c r="B23" s="53">
        <v>6.0419999999999998</v>
      </c>
      <c r="C23" s="53">
        <v>5.8789999999999996</v>
      </c>
      <c r="D23" s="53">
        <v>5.633</v>
      </c>
      <c r="E23" s="53">
        <v>5.4720000000000004</v>
      </c>
      <c r="F23" s="53">
        <v>4.9969999999999999</v>
      </c>
      <c r="G23" s="53">
        <v>4.6280000000000001</v>
      </c>
      <c r="H23" s="53">
        <v>4.4009999999999998</v>
      </c>
      <c r="I23" s="53">
        <v>4.1669999999999998</v>
      </c>
      <c r="J23" s="53">
        <v>3.9910000000000001</v>
      </c>
      <c r="K23" s="53">
        <v>3.847</v>
      </c>
      <c r="L23" s="53">
        <v>3.7429999999999999</v>
      </c>
      <c r="M23" s="53">
        <v>3.4039999999999999</v>
      </c>
      <c r="N23" s="53">
        <v>3.2050000000000001</v>
      </c>
      <c r="O23" s="53">
        <v>2.9529999999999998</v>
      </c>
      <c r="P23" s="53">
        <v>2.5640000000000001</v>
      </c>
      <c r="Q23" s="53">
        <v>2.2280000000000002</v>
      </c>
      <c r="R23" s="53">
        <v>1.954</v>
      </c>
      <c r="S23" s="53">
        <v>1.714</v>
      </c>
      <c r="T23" s="53">
        <v>1.49</v>
      </c>
      <c r="U23" s="53">
        <v>1.165</v>
      </c>
      <c r="V23" s="53">
        <v>0.875</v>
      </c>
      <c r="W23" s="53">
        <v>0.77200000000000002</v>
      </c>
      <c r="X23" s="53">
        <v>0.68700000000000006</v>
      </c>
      <c r="Y23" s="53">
        <v>0.61199999999999999</v>
      </c>
      <c r="Z23" s="53">
        <v>0.54800000000000004</v>
      </c>
      <c r="AA23" s="53">
        <v>0.499</v>
      </c>
      <c r="AB23" s="53">
        <v>0.45</v>
      </c>
      <c r="AC23" s="53">
        <v>0.41</v>
      </c>
      <c r="AD23" s="53">
        <v>0.36799999999999999</v>
      </c>
      <c r="AE23" s="53">
        <v>0.34200000000000003</v>
      </c>
      <c r="AF23" s="53">
        <v>0.311</v>
      </c>
      <c r="AH23" s="54">
        <f t="shared" si="0"/>
        <v>-4.998181818181819E-2</v>
      </c>
      <c r="AI23" s="54">
        <f t="shared" si="1"/>
        <v>101.73807272727274</v>
      </c>
    </row>
    <row r="24" spans="1:35" s="48" customFormat="1" ht="16.5" customHeight="1">
      <c r="A24" s="52" t="s">
        <v>597</v>
      </c>
      <c r="B24" s="53">
        <v>9.7000000000000003E-2</v>
      </c>
      <c r="C24" s="53">
        <v>9.0999999999999998E-2</v>
      </c>
      <c r="D24" s="53">
        <v>8.2000000000000003E-2</v>
      </c>
      <c r="E24" s="53">
        <v>7.6999999999999999E-2</v>
      </c>
      <c r="F24" s="53">
        <v>6.9000000000000006E-2</v>
      </c>
      <c r="G24" s="53">
        <v>6.4000000000000001E-2</v>
      </c>
      <c r="H24" s="53">
        <v>5.7000000000000002E-2</v>
      </c>
      <c r="I24" s="53">
        <v>5.5E-2</v>
      </c>
      <c r="J24" s="53">
        <v>5.0999999999999997E-2</v>
      </c>
      <c r="K24" s="53">
        <v>4.9000000000000002E-2</v>
      </c>
      <c r="L24" s="53">
        <v>4.8000000000000001E-2</v>
      </c>
      <c r="M24" s="53">
        <v>4.1000000000000002E-2</v>
      </c>
      <c r="N24" s="53">
        <v>0.04</v>
      </c>
      <c r="O24" s="53">
        <v>3.7999999999999999E-2</v>
      </c>
      <c r="P24" s="53">
        <v>3.5000000000000003E-2</v>
      </c>
      <c r="Q24" s="53">
        <v>3.4000000000000002E-2</v>
      </c>
      <c r="R24" s="53">
        <v>3.3000000000000002E-2</v>
      </c>
      <c r="S24" s="53">
        <v>3.1E-2</v>
      </c>
      <c r="T24" s="53">
        <v>2.9000000000000001E-2</v>
      </c>
      <c r="U24" s="53">
        <v>2.8000000000000001E-2</v>
      </c>
      <c r="V24" s="53">
        <v>2.5999999999999999E-2</v>
      </c>
      <c r="W24" s="53">
        <v>2.5000000000000001E-2</v>
      </c>
      <c r="X24" s="53">
        <v>2.4E-2</v>
      </c>
      <c r="Y24" s="53">
        <v>2.3E-2</v>
      </c>
      <c r="Z24" s="53">
        <v>2.1999999999999999E-2</v>
      </c>
      <c r="AA24" s="53">
        <v>2.1999999999999999E-2</v>
      </c>
      <c r="AB24" s="53">
        <v>2.1000000000000001E-2</v>
      </c>
      <c r="AC24" s="53">
        <v>0.02</v>
      </c>
      <c r="AD24" s="53">
        <v>0.02</v>
      </c>
      <c r="AE24" s="53">
        <v>1.9E-2</v>
      </c>
      <c r="AF24" s="53">
        <v>1.9E-2</v>
      </c>
      <c r="AH24" s="54">
        <f t="shared" si="0"/>
        <v>-6.7272727272727287E-4</v>
      </c>
      <c r="AI24" s="54">
        <f t="shared" si="1"/>
        <v>1.3841090909090912</v>
      </c>
    </row>
    <row r="25" spans="1:35" s="48" customFormat="1" ht="16.5" customHeight="1">
      <c r="A25" s="52" t="s">
        <v>598</v>
      </c>
      <c r="B25" s="53">
        <v>6.0000000000000001E-3</v>
      </c>
      <c r="C25" s="53">
        <v>6.0000000000000001E-3</v>
      </c>
      <c r="D25" s="53">
        <v>5.0000000000000001E-3</v>
      </c>
      <c r="E25" s="53">
        <v>5.0000000000000001E-3</v>
      </c>
      <c r="F25" s="53">
        <v>5.0000000000000001E-3</v>
      </c>
      <c r="G25" s="53">
        <v>5.0000000000000001E-3</v>
      </c>
      <c r="H25" s="53">
        <v>5.0000000000000001E-3</v>
      </c>
      <c r="I25" s="53">
        <v>5.0000000000000001E-3</v>
      </c>
      <c r="J25" s="53">
        <v>5.0000000000000001E-3</v>
      </c>
      <c r="K25" s="53">
        <v>5.0000000000000001E-3</v>
      </c>
      <c r="L25" s="53">
        <v>5.0000000000000001E-3</v>
      </c>
      <c r="M25" s="53">
        <v>5.0000000000000001E-3</v>
      </c>
      <c r="N25" s="53">
        <v>5.0000000000000001E-3</v>
      </c>
      <c r="O25" s="53">
        <v>5.0000000000000001E-3</v>
      </c>
      <c r="P25" s="53">
        <v>5.0000000000000001E-3</v>
      </c>
      <c r="Q25" s="53">
        <v>5.0000000000000001E-3</v>
      </c>
      <c r="R25" s="53">
        <v>5.0000000000000001E-3</v>
      </c>
      <c r="S25" s="53">
        <v>6.0000000000000001E-3</v>
      </c>
      <c r="T25" s="53">
        <v>6.0000000000000001E-3</v>
      </c>
      <c r="U25" s="53">
        <v>6.0000000000000001E-3</v>
      </c>
      <c r="V25" s="53">
        <v>6.0000000000000001E-3</v>
      </c>
      <c r="W25" s="53">
        <v>6.0000000000000001E-3</v>
      </c>
      <c r="X25" s="53">
        <v>6.0000000000000001E-3</v>
      </c>
      <c r="Y25" s="53">
        <v>6.0000000000000001E-3</v>
      </c>
      <c r="Z25" s="53">
        <v>6.0000000000000001E-3</v>
      </c>
      <c r="AA25" s="53">
        <v>6.0000000000000001E-3</v>
      </c>
      <c r="AB25" s="53">
        <v>6.0000000000000001E-3</v>
      </c>
      <c r="AC25" s="53">
        <v>6.0000000000000001E-3</v>
      </c>
      <c r="AD25" s="53">
        <v>6.0000000000000001E-3</v>
      </c>
      <c r="AE25" s="53">
        <v>6.0000000000000001E-3</v>
      </c>
      <c r="AF25" s="53">
        <v>6.0000000000000001E-3</v>
      </c>
      <c r="AH25" s="54">
        <f t="shared" si="0"/>
        <v>0</v>
      </c>
      <c r="AI25" s="54">
        <f t="shared" si="1"/>
        <v>5.9999999999999993E-3</v>
      </c>
    </row>
    <row r="26" spans="1:35" s="48" customFormat="1" ht="16.5" customHeight="1">
      <c r="A26" s="52" t="s">
        <v>599</v>
      </c>
      <c r="B26" s="53">
        <v>2E-3</v>
      </c>
      <c r="C26" s="53">
        <v>2E-3</v>
      </c>
      <c r="D26" s="53">
        <v>2E-3</v>
      </c>
      <c r="E26" s="53">
        <v>2E-3</v>
      </c>
      <c r="F26" s="53">
        <v>2E-3</v>
      </c>
      <c r="G26" s="53">
        <v>2E-3</v>
      </c>
      <c r="H26" s="53">
        <v>2E-3</v>
      </c>
      <c r="I26" s="53">
        <v>2E-3</v>
      </c>
      <c r="J26" s="53">
        <v>2E-3</v>
      </c>
      <c r="K26" s="53">
        <v>2E-3</v>
      </c>
      <c r="L26" s="53">
        <v>2E-3</v>
      </c>
      <c r="M26" s="53">
        <v>2E-3</v>
      </c>
      <c r="N26" s="53">
        <v>2E-3</v>
      </c>
      <c r="O26" s="53">
        <v>2E-3</v>
      </c>
      <c r="P26" s="53">
        <v>2E-3</v>
      </c>
      <c r="Q26" s="53">
        <v>2E-3</v>
      </c>
      <c r="R26" s="53">
        <v>2E-3</v>
      </c>
      <c r="S26" s="53">
        <v>2E-3</v>
      </c>
      <c r="T26" s="53">
        <v>2E-3</v>
      </c>
      <c r="U26" s="53">
        <v>2E-3</v>
      </c>
      <c r="V26" s="53">
        <v>2E-3</v>
      </c>
      <c r="W26" s="53">
        <v>2E-3</v>
      </c>
      <c r="X26" s="53">
        <v>2E-3</v>
      </c>
      <c r="Y26" s="53">
        <v>2E-3</v>
      </c>
      <c r="Z26" s="53">
        <v>2E-3</v>
      </c>
      <c r="AA26" s="53">
        <v>2E-3</v>
      </c>
      <c r="AB26" s="53">
        <v>2E-3</v>
      </c>
      <c r="AC26" s="53">
        <v>2E-3</v>
      </c>
      <c r="AD26" s="53">
        <v>2E-3</v>
      </c>
      <c r="AE26" s="53">
        <v>2E-3</v>
      </c>
      <c r="AF26" s="53">
        <v>2E-3</v>
      </c>
      <c r="AH26" s="54">
        <f t="shared" si="0"/>
        <v>0</v>
      </c>
      <c r="AI26" s="54">
        <f t="shared" si="1"/>
        <v>2.0000000000000005E-3</v>
      </c>
    </row>
    <row r="27" spans="1:35" s="56" customFormat="1" ht="16.5" customHeight="1">
      <c r="A27" s="51" t="s">
        <v>602</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H27" s="54"/>
      <c r="AI27" s="54"/>
    </row>
    <row r="28" spans="1:35" s="48" customFormat="1" ht="16.5" customHeight="1">
      <c r="A28" s="52" t="s">
        <v>594</v>
      </c>
      <c r="B28" s="53">
        <v>4.7389999999999999</v>
      </c>
      <c r="C28" s="53">
        <v>4.9029999999999996</v>
      </c>
      <c r="D28" s="53">
        <v>4.7720000000000002</v>
      </c>
      <c r="E28" s="53">
        <v>4.7270000000000003</v>
      </c>
      <c r="F28" s="53">
        <v>3.9460000000000002</v>
      </c>
      <c r="G28" s="53">
        <v>3.738</v>
      </c>
      <c r="H28" s="53">
        <v>3.2570000000000001</v>
      </c>
      <c r="I28" s="53">
        <v>3.0059999999999998</v>
      </c>
      <c r="J28" s="53">
        <v>2.952</v>
      </c>
      <c r="K28" s="53">
        <v>2.8929999999999998</v>
      </c>
      <c r="L28" s="53">
        <v>3.0550000000000002</v>
      </c>
      <c r="M28" s="53">
        <v>2.9750000000000001</v>
      </c>
      <c r="N28" s="53">
        <v>2.7669999999999999</v>
      </c>
      <c r="O28" s="53">
        <v>2.7730000000000001</v>
      </c>
      <c r="P28" s="53">
        <v>2.8010000000000002</v>
      </c>
      <c r="Q28" s="53">
        <v>2.819</v>
      </c>
      <c r="R28" s="53">
        <v>2.7280000000000002</v>
      </c>
      <c r="S28" s="53">
        <v>2.7160000000000002</v>
      </c>
      <c r="T28" s="53">
        <v>2.6680000000000001</v>
      </c>
      <c r="U28" s="53">
        <v>2.64</v>
      </c>
      <c r="V28" s="53">
        <v>2.6240000000000001</v>
      </c>
      <c r="W28" s="53">
        <v>2.6179999999999999</v>
      </c>
      <c r="X28" s="53">
        <v>2.6160000000000001</v>
      </c>
      <c r="Y28" s="53">
        <v>2.6150000000000002</v>
      </c>
      <c r="Z28" s="53">
        <v>2.6139999999999999</v>
      </c>
      <c r="AA28" s="53">
        <v>2.61</v>
      </c>
      <c r="AB28" s="53">
        <v>2.6019999999999999</v>
      </c>
      <c r="AC28" s="53">
        <v>2.5910000000000002</v>
      </c>
      <c r="AD28" s="53">
        <v>2.5449999999999999</v>
      </c>
      <c r="AE28" s="53">
        <v>2.5259999999999998</v>
      </c>
      <c r="AF28" s="53">
        <v>2.504</v>
      </c>
      <c r="AH28" s="54">
        <f t="shared" si="0"/>
        <v>-1.2624242424242434E-2</v>
      </c>
      <c r="AI28" s="54">
        <f t="shared" si="1"/>
        <v>28.154503030303047</v>
      </c>
    </row>
    <row r="29" spans="1:35" s="48" customFormat="1" ht="16.5" customHeight="1">
      <c r="A29" s="52" t="s">
        <v>595</v>
      </c>
      <c r="B29" s="53">
        <v>36.277000000000001</v>
      </c>
      <c r="C29" s="53">
        <v>38.267000000000003</v>
      </c>
      <c r="D29" s="53">
        <v>39.088999999999999</v>
      </c>
      <c r="E29" s="53">
        <v>39.661000000000001</v>
      </c>
      <c r="F29" s="53">
        <v>33.261000000000003</v>
      </c>
      <c r="G29" s="53">
        <v>27.763999999999999</v>
      </c>
      <c r="H29" s="53">
        <v>25.538</v>
      </c>
      <c r="I29" s="53">
        <v>22.408999999999999</v>
      </c>
      <c r="J29" s="53">
        <v>19.84</v>
      </c>
      <c r="K29" s="53">
        <v>18.518000000000001</v>
      </c>
      <c r="L29" s="53">
        <v>18.887</v>
      </c>
      <c r="M29" s="53">
        <v>17.462</v>
      </c>
      <c r="N29" s="53">
        <v>16.731000000000002</v>
      </c>
      <c r="O29" s="53">
        <v>16.283000000000001</v>
      </c>
      <c r="P29" s="53">
        <v>15.874000000000001</v>
      </c>
      <c r="Q29" s="53">
        <v>15.5</v>
      </c>
      <c r="R29" s="53">
        <v>14.992000000000001</v>
      </c>
      <c r="S29" s="53">
        <v>14.484</v>
      </c>
      <c r="T29" s="53">
        <v>14.026</v>
      </c>
      <c r="U29" s="53">
        <v>13.685</v>
      </c>
      <c r="V29" s="53">
        <v>13.411</v>
      </c>
      <c r="W29" s="53">
        <v>13.2</v>
      </c>
      <c r="X29" s="53">
        <v>13.02</v>
      </c>
      <c r="Y29" s="53">
        <v>12.848000000000001</v>
      </c>
      <c r="Z29" s="53">
        <v>12.718999999999999</v>
      </c>
      <c r="AA29" s="53">
        <v>12.57</v>
      </c>
      <c r="AB29" s="53">
        <v>12.430999999999999</v>
      </c>
      <c r="AC29" s="53">
        <v>12.302</v>
      </c>
      <c r="AD29" s="53">
        <v>12.18</v>
      </c>
      <c r="AE29" s="53">
        <v>12.061999999999999</v>
      </c>
      <c r="AF29" s="53">
        <v>11.948</v>
      </c>
      <c r="AH29" s="54">
        <f t="shared" si="0"/>
        <v>-0.13759999999999997</v>
      </c>
      <c r="AI29" s="54">
        <f t="shared" si="1"/>
        <v>291.23679999999996</v>
      </c>
    </row>
    <row r="30" spans="1:35" s="48" customFormat="1" ht="16.5" customHeight="1">
      <c r="A30" s="52" t="s">
        <v>596</v>
      </c>
      <c r="B30" s="53">
        <v>0.92700000000000005</v>
      </c>
      <c r="C30" s="53">
        <v>1.0209999999999999</v>
      </c>
      <c r="D30" s="53">
        <v>1.0720000000000001</v>
      </c>
      <c r="E30" s="53">
        <v>1.1060000000000001</v>
      </c>
      <c r="F30" s="53">
        <v>0.96799999999999997</v>
      </c>
      <c r="G30" s="53">
        <v>0.84099999999999997</v>
      </c>
      <c r="H30" s="53">
        <v>0.80500000000000005</v>
      </c>
      <c r="I30" s="53">
        <v>0.71699999999999997</v>
      </c>
      <c r="J30" s="53">
        <v>0.70699999999999996</v>
      </c>
      <c r="K30" s="53">
        <v>0.69599999999999995</v>
      </c>
      <c r="L30" s="53">
        <v>0.71199999999999997</v>
      </c>
      <c r="M30" s="53">
        <v>0.68600000000000005</v>
      </c>
      <c r="N30" s="53">
        <v>0.68200000000000005</v>
      </c>
      <c r="O30" s="53">
        <v>0.67700000000000005</v>
      </c>
      <c r="P30" s="53">
        <v>0.67700000000000005</v>
      </c>
      <c r="Q30" s="53">
        <v>0.67100000000000004</v>
      </c>
      <c r="R30" s="53">
        <v>0.66300000000000003</v>
      </c>
      <c r="S30" s="53">
        <v>0.65400000000000003</v>
      </c>
      <c r="T30" s="53">
        <v>0.65</v>
      </c>
      <c r="U30" s="53">
        <v>0.64600000000000002</v>
      </c>
      <c r="V30" s="53">
        <v>0.64200000000000002</v>
      </c>
      <c r="W30" s="53">
        <v>0.64</v>
      </c>
      <c r="X30" s="53">
        <v>0.63800000000000001</v>
      </c>
      <c r="Y30" s="53">
        <v>0.63600000000000001</v>
      </c>
      <c r="Z30" s="53">
        <v>0.63400000000000001</v>
      </c>
      <c r="AA30" s="53">
        <v>0.63200000000000001</v>
      </c>
      <c r="AB30" s="53">
        <v>0.63100000000000001</v>
      </c>
      <c r="AC30" s="53">
        <v>0.629</v>
      </c>
      <c r="AD30" s="53">
        <v>0.628</v>
      </c>
      <c r="AE30" s="53">
        <v>0.626</v>
      </c>
      <c r="AF30" s="53">
        <v>0.625</v>
      </c>
      <c r="AH30" s="54">
        <f t="shared" si="0"/>
        <v>-1.6666666666666681E-3</v>
      </c>
      <c r="AI30" s="54">
        <f t="shared" si="1"/>
        <v>4.007733333333336</v>
      </c>
    </row>
    <row r="31" spans="1:35" s="48" customFormat="1" ht="16.5" customHeight="1">
      <c r="A31" s="52" t="s">
        <v>597</v>
      </c>
      <c r="B31" s="53">
        <v>2.5999999999999999E-2</v>
      </c>
      <c r="C31" s="53">
        <v>2.5999999999999999E-2</v>
      </c>
      <c r="D31" s="53">
        <v>2.5999999999999999E-2</v>
      </c>
      <c r="E31" s="53">
        <v>2.5000000000000001E-2</v>
      </c>
      <c r="F31" s="53">
        <v>2.4E-2</v>
      </c>
      <c r="G31" s="53">
        <v>2.3E-2</v>
      </c>
      <c r="H31" s="53">
        <v>2.1999999999999999E-2</v>
      </c>
      <c r="I31" s="53">
        <v>2.1999999999999999E-2</v>
      </c>
      <c r="J31" s="53">
        <v>2.1999999999999999E-2</v>
      </c>
      <c r="K31" s="53">
        <v>2.1999999999999999E-2</v>
      </c>
      <c r="L31" s="53">
        <v>2.1999999999999999E-2</v>
      </c>
      <c r="M31" s="53">
        <v>2.1000000000000001E-2</v>
      </c>
      <c r="N31" s="53">
        <v>2.1000000000000001E-2</v>
      </c>
      <c r="O31" s="53">
        <v>2.1000000000000001E-2</v>
      </c>
      <c r="P31" s="53">
        <v>0.02</v>
      </c>
      <c r="Q31" s="53">
        <v>2.1000000000000001E-2</v>
      </c>
      <c r="R31" s="53">
        <v>2.1000000000000001E-2</v>
      </c>
      <c r="S31" s="53">
        <v>2.1000000000000001E-2</v>
      </c>
      <c r="T31" s="53">
        <v>2.1000000000000001E-2</v>
      </c>
      <c r="U31" s="53">
        <v>2.1000000000000001E-2</v>
      </c>
      <c r="V31" s="53">
        <v>2.1000000000000001E-2</v>
      </c>
      <c r="W31" s="53">
        <v>2.1000000000000001E-2</v>
      </c>
      <c r="X31" s="53">
        <v>2.1000000000000001E-2</v>
      </c>
      <c r="Y31" s="53">
        <v>2.1000000000000001E-2</v>
      </c>
      <c r="Z31" s="53">
        <v>2.1000000000000001E-2</v>
      </c>
      <c r="AA31" s="53">
        <v>2.1000000000000001E-2</v>
      </c>
      <c r="AB31" s="53">
        <v>2.1000000000000001E-2</v>
      </c>
      <c r="AC31" s="53">
        <v>2.1000000000000001E-2</v>
      </c>
      <c r="AD31" s="53">
        <v>2.1000000000000001E-2</v>
      </c>
      <c r="AE31" s="53">
        <v>2.1000000000000001E-2</v>
      </c>
      <c r="AF31" s="53">
        <v>2.1000000000000001E-2</v>
      </c>
      <c r="AH31" s="54">
        <f t="shared" si="0"/>
        <v>0</v>
      </c>
      <c r="AI31" s="54">
        <f t="shared" si="1"/>
        <v>2.0999999999999998E-2</v>
      </c>
    </row>
    <row r="32" spans="1:35" s="48" customFormat="1" ht="16.5" customHeight="1">
      <c r="A32" s="52" t="s">
        <v>598</v>
      </c>
      <c r="B32" s="53">
        <v>2E-3</v>
      </c>
      <c r="C32" s="53">
        <v>2E-3</v>
      </c>
      <c r="D32" s="53">
        <v>2E-3</v>
      </c>
      <c r="E32" s="53">
        <v>2E-3</v>
      </c>
      <c r="F32" s="53">
        <v>2E-3</v>
      </c>
      <c r="G32" s="53">
        <v>2E-3</v>
      </c>
      <c r="H32" s="53">
        <v>2E-3</v>
      </c>
      <c r="I32" s="53">
        <v>2E-3</v>
      </c>
      <c r="J32" s="53">
        <v>2E-3</v>
      </c>
      <c r="K32" s="53">
        <v>2E-3</v>
      </c>
      <c r="L32" s="53">
        <v>2E-3</v>
      </c>
      <c r="M32" s="53">
        <v>2E-3</v>
      </c>
      <c r="N32" s="53">
        <v>2E-3</v>
      </c>
      <c r="O32" s="53">
        <v>2E-3</v>
      </c>
      <c r="P32" s="53">
        <v>2E-3</v>
      </c>
      <c r="Q32" s="53">
        <v>2E-3</v>
      </c>
      <c r="R32" s="53">
        <v>2E-3</v>
      </c>
      <c r="S32" s="53">
        <v>2E-3</v>
      </c>
      <c r="T32" s="53">
        <v>2E-3</v>
      </c>
      <c r="U32" s="53">
        <v>2E-3</v>
      </c>
      <c r="V32" s="53">
        <v>2E-3</v>
      </c>
      <c r="W32" s="53">
        <v>2E-3</v>
      </c>
      <c r="X32" s="53">
        <v>2E-3</v>
      </c>
      <c r="Y32" s="53">
        <v>2E-3</v>
      </c>
      <c r="Z32" s="53">
        <v>2E-3</v>
      </c>
      <c r="AA32" s="53">
        <v>2E-3</v>
      </c>
      <c r="AB32" s="53">
        <v>2E-3</v>
      </c>
      <c r="AC32" s="53">
        <v>2E-3</v>
      </c>
      <c r="AD32" s="53">
        <v>2E-3</v>
      </c>
      <c r="AE32" s="53">
        <v>2E-3</v>
      </c>
      <c r="AF32" s="53">
        <v>2E-3</v>
      </c>
      <c r="AH32" s="54">
        <f t="shared" si="0"/>
        <v>0</v>
      </c>
      <c r="AI32" s="54">
        <f t="shared" si="1"/>
        <v>2.0000000000000005E-3</v>
      </c>
    </row>
    <row r="33" spans="1:35" s="48" customFormat="1" ht="16.5" customHeight="1">
      <c r="A33" s="52" t="s">
        <v>599</v>
      </c>
      <c r="B33" s="53">
        <v>1E-3</v>
      </c>
      <c r="C33" s="53">
        <v>1E-3</v>
      </c>
      <c r="D33" s="53">
        <v>1E-3</v>
      </c>
      <c r="E33" s="53">
        <v>1E-3</v>
      </c>
      <c r="F33" s="53">
        <v>1E-3</v>
      </c>
      <c r="G33" s="53">
        <v>1E-3</v>
      </c>
      <c r="H33" s="53">
        <v>1E-3</v>
      </c>
      <c r="I33" s="53">
        <v>1E-3</v>
      </c>
      <c r="J33" s="53">
        <v>1E-3</v>
      </c>
      <c r="K33" s="53">
        <v>1E-3</v>
      </c>
      <c r="L33" s="53">
        <v>1E-3</v>
      </c>
      <c r="M33" s="53">
        <v>1E-3</v>
      </c>
      <c r="N33" s="53">
        <v>1E-3</v>
      </c>
      <c r="O33" s="53">
        <v>1E-3</v>
      </c>
      <c r="P33" s="53">
        <v>1E-3</v>
      </c>
      <c r="Q33" s="53">
        <v>1E-3</v>
      </c>
      <c r="R33" s="53">
        <v>1E-3</v>
      </c>
      <c r="S33" s="53">
        <v>1E-3</v>
      </c>
      <c r="T33" s="53">
        <v>1E-3</v>
      </c>
      <c r="U33" s="53">
        <v>1E-3</v>
      </c>
      <c r="V33" s="53">
        <v>1E-3</v>
      </c>
      <c r="W33" s="53">
        <v>1E-3</v>
      </c>
      <c r="X33" s="53">
        <v>1E-3</v>
      </c>
      <c r="Y33" s="53">
        <v>1E-3</v>
      </c>
      <c r="Z33" s="53">
        <v>1E-3</v>
      </c>
      <c r="AA33" s="53">
        <v>1E-3</v>
      </c>
      <c r="AB33" s="53">
        <v>1E-3</v>
      </c>
      <c r="AC33" s="53">
        <v>1E-3</v>
      </c>
      <c r="AD33" s="53">
        <v>1E-3</v>
      </c>
      <c r="AE33" s="53">
        <v>1E-3</v>
      </c>
      <c r="AF33" s="53">
        <v>1E-3</v>
      </c>
      <c r="AH33" s="54">
        <f t="shared" si="0"/>
        <v>0</v>
      </c>
      <c r="AI33" s="54">
        <f t="shared" si="1"/>
        <v>1.0000000000000002E-3</v>
      </c>
    </row>
    <row r="34" spans="1:35" s="48" customFormat="1" ht="16.5" customHeight="1">
      <c r="A34" s="49" t="s">
        <v>603</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H34" s="54"/>
      <c r="AI34" s="54"/>
    </row>
    <row r="35" spans="1:35" s="48" customFormat="1" ht="16.5" customHeight="1">
      <c r="A35" s="51" t="s">
        <v>593</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H35" s="54"/>
      <c r="AI35" s="54"/>
    </row>
    <row r="36" spans="1:35" s="48" customFormat="1" ht="16.5" customHeight="1">
      <c r="A36" s="52" t="s">
        <v>594</v>
      </c>
      <c r="B36" s="53">
        <v>2.2829999999999999</v>
      </c>
      <c r="C36" s="53">
        <v>2.2210000000000001</v>
      </c>
      <c r="D36" s="53">
        <v>2.0510000000000002</v>
      </c>
      <c r="E36" s="53">
        <v>1.9119999999999999</v>
      </c>
      <c r="F36" s="53">
        <v>1.7869999999999999</v>
      </c>
      <c r="G36" s="53">
        <v>1.6879999999999999</v>
      </c>
      <c r="H36" s="53">
        <v>1.464</v>
      </c>
      <c r="I36" s="53">
        <v>1.3640000000000001</v>
      </c>
      <c r="J36" s="53">
        <v>1.327</v>
      </c>
      <c r="K36" s="53">
        <v>1.288</v>
      </c>
      <c r="L36" s="53">
        <v>1.19</v>
      </c>
      <c r="M36" s="53">
        <v>1.097</v>
      </c>
      <c r="N36" s="53">
        <v>0.997</v>
      </c>
      <c r="O36" s="53">
        <v>0.52</v>
      </c>
      <c r="P36" s="53">
        <v>0.34399999999999997</v>
      </c>
      <c r="Q36" s="53">
        <v>0.26600000000000001</v>
      </c>
      <c r="R36" s="53">
        <v>0.17</v>
      </c>
      <c r="S36" s="53">
        <v>0.17899999999999999</v>
      </c>
      <c r="T36" s="53">
        <v>0.14199999999999999</v>
      </c>
      <c r="U36" s="53">
        <v>0.14499999999999999</v>
      </c>
      <c r="V36" s="53">
        <v>0.14299999999999999</v>
      </c>
      <c r="W36" s="53">
        <v>0.14499999999999999</v>
      </c>
      <c r="X36" s="53">
        <v>0.13700000000000001</v>
      </c>
      <c r="Y36" s="53">
        <v>0.13100000000000001</v>
      </c>
      <c r="Z36" s="53">
        <v>0.125</v>
      </c>
      <c r="AA36" s="53">
        <v>0.122</v>
      </c>
      <c r="AB36" s="53">
        <v>0.113</v>
      </c>
      <c r="AC36" s="53">
        <v>0.105</v>
      </c>
      <c r="AD36" s="53">
        <v>9.7000000000000003E-2</v>
      </c>
      <c r="AE36" s="53">
        <v>9.0999999999999998E-2</v>
      </c>
      <c r="AF36" s="53">
        <v>8.5999999999999993E-2</v>
      </c>
      <c r="AH36" s="54">
        <f t="shared" si="0"/>
        <v>-6.6181818181818191E-3</v>
      </c>
      <c r="AI36" s="54">
        <f t="shared" si="1"/>
        <v>13.520327272727274</v>
      </c>
    </row>
    <row r="37" spans="1:35" s="48" customFormat="1" ht="16.5" customHeight="1">
      <c r="A37" s="52" t="s">
        <v>595</v>
      </c>
      <c r="B37" s="53">
        <v>39.892000000000003</v>
      </c>
      <c r="C37" s="53">
        <v>38.14</v>
      </c>
      <c r="D37" s="53">
        <v>34.44</v>
      </c>
      <c r="E37" s="53">
        <v>31.722000000000001</v>
      </c>
      <c r="F37" s="53">
        <v>29.396000000000001</v>
      </c>
      <c r="G37" s="53">
        <v>27.356999999999999</v>
      </c>
      <c r="H37" s="53">
        <v>23.79</v>
      </c>
      <c r="I37" s="53">
        <v>22.251999999999999</v>
      </c>
      <c r="J37" s="53">
        <v>21.663</v>
      </c>
      <c r="K37" s="53">
        <v>20.981999999999999</v>
      </c>
      <c r="L37" s="53">
        <v>19.401</v>
      </c>
      <c r="M37" s="53">
        <v>17.945</v>
      </c>
      <c r="N37" s="53">
        <v>16.341999999999999</v>
      </c>
      <c r="O37" s="53">
        <v>9.8309999999999995</v>
      </c>
      <c r="P37" s="53">
        <v>6.6470000000000002</v>
      </c>
      <c r="Q37" s="53">
        <v>5.0279999999999996</v>
      </c>
      <c r="R37" s="53">
        <v>3.508</v>
      </c>
      <c r="S37" s="53">
        <v>3.7269999999999999</v>
      </c>
      <c r="T37" s="53">
        <v>3.3490000000000002</v>
      </c>
      <c r="U37" s="53">
        <v>3.59</v>
      </c>
      <c r="V37" s="53">
        <v>3.64</v>
      </c>
      <c r="W37" s="53">
        <v>3.7839999999999998</v>
      </c>
      <c r="X37" s="53">
        <v>3.661</v>
      </c>
      <c r="Y37" s="53">
        <v>3.5960000000000001</v>
      </c>
      <c r="Z37" s="53">
        <v>3.4449999999999998</v>
      </c>
      <c r="AA37" s="53">
        <v>3.3839999999999999</v>
      </c>
      <c r="AB37" s="53">
        <v>3.03</v>
      </c>
      <c r="AC37" s="53">
        <v>2.6709999999999998</v>
      </c>
      <c r="AD37" s="53">
        <v>2.3620000000000001</v>
      </c>
      <c r="AE37" s="53">
        <v>2.081</v>
      </c>
      <c r="AF37" s="53">
        <v>1.9019999999999999</v>
      </c>
      <c r="AH37" s="54">
        <f t="shared" si="0"/>
        <v>-0.22329696969696972</v>
      </c>
      <c r="AI37" s="54">
        <f t="shared" si="1"/>
        <v>455.27961212121215</v>
      </c>
    </row>
    <row r="38" spans="1:35" s="48" customFormat="1" ht="16.5" customHeight="1">
      <c r="A38" s="52" t="s">
        <v>596</v>
      </c>
      <c r="B38" s="53">
        <v>2.863</v>
      </c>
      <c r="C38" s="53">
        <v>2.6840000000000002</v>
      </c>
      <c r="D38" s="53">
        <v>2.3620000000000001</v>
      </c>
      <c r="E38" s="53">
        <v>2.2240000000000002</v>
      </c>
      <c r="F38" s="53">
        <v>2.0950000000000002</v>
      </c>
      <c r="G38" s="53">
        <v>1.9259999999999999</v>
      </c>
      <c r="H38" s="53">
        <v>1.6879999999999999</v>
      </c>
      <c r="I38" s="53">
        <v>1.6020000000000001</v>
      </c>
      <c r="J38" s="53">
        <v>1.5429999999999999</v>
      </c>
      <c r="K38" s="53">
        <v>1.4039999999999999</v>
      </c>
      <c r="L38" s="53">
        <v>1.2230000000000001</v>
      </c>
      <c r="M38" s="53">
        <v>1.131</v>
      </c>
      <c r="N38" s="53">
        <v>0.94699999999999995</v>
      </c>
      <c r="O38" s="53">
        <v>0.76</v>
      </c>
      <c r="P38" s="53">
        <v>0.47599999999999998</v>
      </c>
      <c r="Q38" s="53">
        <v>0.32100000000000001</v>
      </c>
      <c r="R38" s="53">
        <v>0.193</v>
      </c>
      <c r="S38" s="53">
        <v>0.20100000000000001</v>
      </c>
      <c r="T38" s="53">
        <v>0.13700000000000001</v>
      </c>
      <c r="U38" s="53">
        <v>0.13500000000000001</v>
      </c>
      <c r="V38" s="53">
        <v>0.129</v>
      </c>
      <c r="W38" s="53">
        <v>0.13300000000000001</v>
      </c>
      <c r="X38" s="53">
        <v>0.112</v>
      </c>
      <c r="Y38" s="53">
        <v>0.1</v>
      </c>
      <c r="Z38" s="53">
        <v>8.6999999999999994E-2</v>
      </c>
      <c r="AA38" s="53">
        <v>8.1000000000000003E-2</v>
      </c>
      <c r="AB38" s="53">
        <v>7.0000000000000007E-2</v>
      </c>
      <c r="AC38" s="53">
        <v>5.8000000000000003E-2</v>
      </c>
      <c r="AD38" s="53">
        <v>5.0999999999999997E-2</v>
      </c>
      <c r="AE38" s="53">
        <v>4.1000000000000002E-2</v>
      </c>
      <c r="AF38" s="53">
        <v>3.5000000000000003E-2</v>
      </c>
      <c r="AH38" s="54">
        <f t="shared" si="0"/>
        <v>-1.0436363636363638E-2</v>
      </c>
      <c r="AI38" s="54">
        <f t="shared" si="1"/>
        <v>21.215654545454548</v>
      </c>
    </row>
    <row r="39" spans="1:35" s="48" customFormat="1" ht="16.5" customHeight="1">
      <c r="A39" s="52" t="s">
        <v>597</v>
      </c>
      <c r="B39" s="53">
        <v>5.2999999999999999E-2</v>
      </c>
      <c r="C39" s="53">
        <v>5.3999999999999999E-2</v>
      </c>
      <c r="D39" s="53">
        <v>5.3999999999999999E-2</v>
      </c>
      <c r="E39" s="53">
        <v>5.2999999999999999E-2</v>
      </c>
      <c r="F39" s="53">
        <v>5.1999999999999998E-2</v>
      </c>
      <c r="G39" s="53">
        <v>5.0999999999999997E-2</v>
      </c>
      <c r="H39" s="53">
        <v>4.3999999999999997E-2</v>
      </c>
      <c r="I39" s="53">
        <v>0.04</v>
      </c>
      <c r="J39" s="53">
        <v>3.9E-2</v>
      </c>
      <c r="K39" s="53">
        <v>3.7999999999999999E-2</v>
      </c>
      <c r="L39" s="53">
        <v>3.5999999999999997E-2</v>
      </c>
      <c r="M39" s="53">
        <v>2.7E-2</v>
      </c>
      <c r="N39" s="53">
        <v>2.4E-2</v>
      </c>
      <c r="O39" s="53">
        <v>1.6E-2</v>
      </c>
      <c r="P39" s="53">
        <v>8.9999999999999993E-3</v>
      </c>
      <c r="Q39" s="53">
        <v>5.0000000000000001E-3</v>
      </c>
      <c r="R39" s="53">
        <v>3.0000000000000001E-3</v>
      </c>
      <c r="S39" s="53">
        <v>3.0000000000000001E-3</v>
      </c>
      <c r="T39" s="53">
        <v>2E-3</v>
      </c>
      <c r="U39" s="53">
        <v>2E-3</v>
      </c>
      <c r="V39" s="53">
        <v>2E-3</v>
      </c>
      <c r="W39" s="53">
        <v>2E-3</v>
      </c>
      <c r="X39" s="53">
        <v>2E-3</v>
      </c>
      <c r="Y39" s="53">
        <v>2E-3</v>
      </c>
      <c r="Z39" s="53">
        <v>2E-3</v>
      </c>
      <c r="AA39" s="53">
        <v>2E-3</v>
      </c>
      <c r="AB39" s="53">
        <v>2E-3</v>
      </c>
      <c r="AC39" s="53">
        <v>2E-3</v>
      </c>
      <c r="AD39" s="53">
        <v>2E-3</v>
      </c>
      <c r="AE39" s="53">
        <v>2E-3</v>
      </c>
      <c r="AF39" s="53">
        <v>2E-3</v>
      </c>
      <c r="AH39" s="54">
        <f t="shared" si="0"/>
        <v>0</v>
      </c>
      <c r="AI39" s="54">
        <f t="shared" si="1"/>
        <v>2.0000000000000005E-3</v>
      </c>
    </row>
    <row r="40" spans="1:35" s="48" customFormat="1" ht="16.5" customHeight="1">
      <c r="A40" s="52" t="s">
        <v>598</v>
      </c>
      <c r="B40" s="53">
        <v>3.0000000000000001E-3</v>
      </c>
      <c r="C40" s="53">
        <v>3.0000000000000001E-3</v>
      </c>
      <c r="D40" s="53">
        <v>3.0000000000000001E-3</v>
      </c>
      <c r="E40" s="53">
        <v>3.0000000000000001E-3</v>
      </c>
      <c r="F40" s="53">
        <v>3.0000000000000001E-3</v>
      </c>
      <c r="G40" s="53">
        <v>3.0000000000000001E-3</v>
      </c>
      <c r="H40" s="53">
        <v>3.0000000000000001E-3</v>
      </c>
      <c r="I40" s="53">
        <v>3.0000000000000001E-3</v>
      </c>
      <c r="J40" s="53">
        <v>3.0000000000000001E-3</v>
      </c>
      <c r="K40" s="53">
        <v>3.0000000000000001E-3</v>
      </c>
      <c r="L40" s="53">
        <v>3.0000000000000001E-3</v>
      </c>
      <c r="M40" s="53">
        <v>3.0000000000000001E-3</v>
      </c>
      <c r="N40" s="53">
        <v>3.0000000000000001E-3</v>
      </c>
      <c r="O40" s="53">
        <v>3.0000000000000001E-3</v>
      </c>
      <c r="P40" s="53">
        <v>3.0000000000000001E-3</v>
      </c>
      <c r="Q40" s="53">
        <v>3.0000000000000001E-3</v>
      </c>
      <c r="R40" s="53">
        <v>3.0000000000000001E-3</v>
      </c>
      <c r="S40" s="53">
        <v>3.0000000000000001E-3</v>
      </c>
      <c r="T40" s="53">
        <v>3.0000000000000001E-3</v>
      </c>
      <c r="U40" s="53">
        <v>3.0000000000000001E-3</v>
      </c>
      <c r="V40" s="53">
        <v>3.0000000000000001E-3</v>
      </c>
      <c r="W40" s="53">
        <v>3.0000000000000001E-3</v>
      </c>
      <c r="X40" s="53">
        <v>3.0000000000000001E-3</v>
      </c>
      <c r="Y40" s="53">
        <v>3.0000000000000001E-3</v>
      </c>
      <c r="Z40" s="53">
        <v>3.0000000000000001E-3</v>
      </c>
      <c r="AA40" s="53">
        <v>3.0000000000000001E-3</v>
      </c>
      <c r="AB40" s="53">
        <v>3.0000000000000001E-3</v>
      </c>
      <c r="AC40" s="53">
        <v>3.0000000000000001E-3</v>
      </c>
      <c r="AD40" s="53">
        <v>3.0000000000000001E-3</v>
      </c>
      <c r="AE40" s="53">
        <v>3.0000000000000001E-3</v>
      </c>
      <c r="AF40" s="53">
        <v>3.0000000000000001E-3</v>
      </c>
      <c r="AH40" s="54">
        <f t="shared" si="0"/>
        <v>0</v>
      </c>
      <c r="AI40" s="54">
        <f t="shared" si="1"/>
        <v>2.9999999999999996E-3</v>
      </c>
    </row>
    <row r="41" spans="1:35" s="48" customFormat="1" ht="16.5" customHeight="1">
      <c r="A41" s="52" t="s">
        <v>599</v>
      </c>
      <c r="B41" s="53">
        <v>1E-3</v>
      </c>
      <c r="C41" s="53">
        <v>1E-3</v>
      </c>
      <c r="D41" s="53">
        <v>1E-3</v>
      </c>
      <c r="E41" s="53">
        <v>1E-3</v>
      </c>
      <c r="F41" s="53">
        <v>1E-3</v>
      </c>
      <c r="G41" s="53">
        <v>1E-3</v>
      </c>
      <c r="H41" s="53">
        <v>1E-3</v>
      </c>
      <c r="I41" s="53">
        <v>1E-3</v>
      </c>
      <c r="J41" s="53">
        <v>1E-3</v>
      </c>
      <c r="K41" s="53">
        <v>1E-3</v>
      </c>
      <c r="L41" s="53">
        <v>1E-3</v>
      </c>
      <c r="M41" s="53">
        <v>1E-3</v>
      </c>
      <c r="N41" s="53">
        <v>1E-3</v>
      </c>
      <c r="O41" s="53">
        <v>1E-3</v>
      </c>
      <c r="P41" s="53">
        <v>1E-3</v>
      </c>
      <c r="Q41" s="53">
        <v>1E-3</v>
      </c>
      <c r="R41" s="53">
        <v>1E-3</v>
      </c>
      <c r="S41" s="53">
        <v>1E-3</v>
      </c>
      <c r="T41" s="53">
        <v>1E-3</v>
      </c>
      <c r="U41" s="53">
        <v>1E-3</v>
      </c>
      <c r="V41" s="53">
        <v>1E-3</v>
      </c>
      <c r="W41" s="53">
        <v>1E-3</v>
      </c>
      <c r="X41" s="53">
        <v>1E-3</v>
      </c>
      <c r="Y41" s="53">
        <v>1E-3</v>
      </c>
      <c r="Z41" s="53">
        <v>1E-3</v>
      </c>
      <c r="AA41" s="53">
        <v>1E-3</v>
      </c>
      <c r="AB41" s="53">
        <v>1E-3</v>
      </c>
      <c r="AC41" s="53">
        <v>1E-3</v>
      </c>
      <c r="AD41" s="53">
        <v>1E-3</v>
      </c>
      <c r="AE41" s="53">
        <v>1E-3</v>
      </c>
      <c r="AF41" s="53">
        <v>1E-3</v>
      </c>
      <c r="AH41" s="54">
        <f t="shared" si="0"/>
        <v>0</v>
      </c>
      <c r="AI41" s="54">
        <f t="shared" si="1"/>
        <v>1.0000000000000002E-3</v>
      </c>
    </row>
    <row r="42" spans="1:35" s="48" customFormat="1" ht="16.5" customHeight="1">
      <c r="A42" s="51" t="s">
        <v>600</v>
      </c>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H42" s="54"/>
      <c r="AI42" s="54"/>
    </row>
    <row r="43" spans="1:35" s="48" customFormat="1" ht="16.5" customHeight="1">
      <c r="A43" s="52" t="s">
        <v>594</v>
      </c>
      <c r="B43" s="53">
        <v>1.417</v>
      </c>
      <c r="C43" s="53">
        <v>1.3280000000000001</v>
      </c>
      <c r="D43" s="53">
        <v>1.1859999999999999</v>
      </c>
      <c r="E43" s="53">
        <v>1.1479999999999999</v>
      </c>
      <c r="F43" s="53">
        <v>1.105</v>
      </c>
      <c r="G43" s="53">
        <v>1.087</v>
      </c>
      <c r="H43" s="53">
        <v>1.056</v>
      </c>
      <c r="I43" s="53">
        <v>1.0029999999999999</v>
      </c>
      <c r="J43" s="53">
        <v>0.95299999999999996</v>
      </c>
      <c r="K43" s="53">
        <v>0.95</v>
      </c>
      <c r="L43" s="53">
        <v>0.95399999999999996</v>
      </c>
      <c r="M43" s="53">
        <v>0.92300000000000004</v>
      </c>
      <c r="N43" s="53">
        <v>0.93300000000000005</v>
      </c>
      <c r="O43" s="53">
        <v>0.84199999999999997</v>
      </c>
      <c r="P43" s="53">
        <v>0.78200000000000003</v>
      </c>
      <c r="Q43" s="53">
        <v>0.68799999999999994</v>
      </c>
      <c r="R43" s="53">
        <v>0.57899999999999996</v>
      </c>
      <c r="S43" s="53">
        <v>0.48499999999999999</v>
      </c>
      <c r="T43" s="53">
        <v>0.41699999999999998</v>
      </c>
      <c r="U43" s="53">
        <v>0.36099999999999999</v>
      </c>
      <c r="V43" s="53">
        <v>0.308</v>
      </c>
      <c r="W43" s="53">
        <v>0.26800000000000002</v>
      </c>
      <c r="X43" s="53">
        <v>0.23400000000000001</v>
      </c>
      <c r="Y43" s="53">
        <v>0.20599999999999999</v>
      </c>
      <c r="Z43" s="53">
        <v>0.17599999999999999</v>
      </c>
      <c r="AA43" s="53">
        <v>0.16</v>
      </c>
      <c r="AB43" s="53">
        <v>0.14399999999999999</v>
      </c>
      <c r="AC43" s="53">
        <v>0.13100000000000001</v>
      </c>
      <c r="AD43" s="53">
        <v>0.11700000000000001</v>
      </c>
      <c r="AE43" s="53">
        <v>0.115</v>
      </c>
      <c r="AF43" s="53">
        <v>0.106</v>
      </c>
      <c r="AH43" s="54">
        <f t="shared" si="0"/>
        <v>-1.7496969696969695E-2</v>
      </c>
      <c r="AI43" s="54">
        <f t="shared" si="1"/>
        <v>35.605812121212118</v>
      </c>
    </row>
    <row r="44" spans="1:35" s="48" customFormat="1" ht="16.5" customHeight="1">
      <c r="A44" s="52" t="s">
        <v>595</v>
      </c>
      <c r="B44" s="53">
        <v>18.361999999999998</v>
      </c>
      <c r="C44" s="53">
        <v>16.440000000000001</v>
      </c>
      <c r="D44" s="53">
        <v>13.96</v>
      </c>
      <c r="E44" s="53">
        <v>12.352</v>
      </c>
      <c r="F44" s="53">
        <v>11.176</v>
      </c>
      <c r="G44" s="53">
        <v>10.287000000000001</v>
      </c>
      <c r="H44" s="53">
        <v>9.3710000000000004</v>
      </c>
      <c r="I44" s="53">
        <v>8.5570000000000004</v>
      </c>
      <c r="J44" s="53">
        <v>7.7569999999999997</v>
      </c>
      <c r="K44" s="53">
        <v>7.5049999999999999</v>
      </c>
      <c r="L44" s="53">
        <v>7.3609999999999998</v>
      </c>
      <c r="M44" s="53">
        <v>7.8170000000000002</v>
      </c>
      <c r="N44" s="53">
        <v>8.8490000000000002</v>
      </c>
      <c r="O44" s="53">
        <v>7.3220000000000001</v>
      </c>
      <c r="P44" s="53">
        <v>6.82</v>
      </c>
      <c r="Q44" s="53">
        <v>5.7949999999999999</v>
      </c>
      <c r="R44" s="53">
        <v>4.4400000000000004</v>
      </c>
      <c r="S44" s="53">
        <v>3.5470000000000002</v>
      </c>
      <c r="T44" s="53">
        <v>3.0590000000000002</v>
      </c>
      <c r="U44" s="53">
        <v>2.8140000000000001</v>
      </c>
      <c r="V44" s="53">
        <v>2.4580000000000002</v>
      </c>
      <c r="W44" s="53">
        <v>2.2109999999999999</v>
      </c>
      <c r="X44" s="53">
        <v>2.0139999999999998</v>
      </c>
      <c r="Y44" s="53">
        <v>1.8420000000000001</v>
      </c>
      <c r="Z44" s="53">
        <v>1.6160000000000001</v>
      </c>
      <c r="AA44" s="53">
        <v>1.5469999999999999</v>
      </c>
      <c r="AB44" s="53">
        <v>1.464</v>
      </c>
      <c r="AC44" s="53">
        <v>1.41</v>
      </c>
      <c r="AD44" s="53">
        <v>1.274</v>
      </c>
      <c r="AE44" s="53">
        <v>1.2669999999999999</v>
      </c>
      <c r="AF44" s="53">
        <v>1.226</v>
      </c>
      <c r="AH44" s="54">
        <f t="shared" si="0"/>
        <v>-0.10687878787878785</v>
      </c>
      <c r="AI44" s="54">
        <f t="shared" si="1"/>
        <v>218.07008484848478</v>
      </c>
    </row>
    <row r="45" spans="1:35" s="48" customFormat="1" ht="16.5" customHeight="1">
      <c r="A45" s="52" t="s">
        <v>596</v>
      </c>
      <c r="B45" s="53">
        <v>6.282</v>
      </c>
      <c r="C45" s="53">
        <v>6.452</v>
      </c>
      <c r="D45" s="53">
        <v>6.5629999999999997</v>
      </c>
      <c r="E45" s="53">
        <v>6.3710000000000004</v>
      </c>
      <c r="F45" s="53">
        <v>6.13</v>
      </c>
      <c r="G45" s="53">
        <v>5.9390000000000001</v>
      </c>
      <c r="H45" s="53">
        <v>5.7389999999999999</v>
      </c>
      <c r="I45" s="53">
        <v>5.4880000000000004</v>
      </c>
      <c r="J45" s="53">
        <v>5.2169999999999996</v>
      </c>
      <c r="K45" s="53">
        <v>5.0970000000000004</v>
      </c>
      <c r="L45" s="53">
        <v>4.93</v>
      </c>
      <c r="M45" s="53">
        <v>4.7240000000000002</v>
      </c>
      <c r="N45" s="53">
        <v>4.5270000000000001</v>
      </c>
      <c r="O45" s="53">
        <v>4.2869999999999999</v>
      </c>
      <c r="P45" s="53">
        <v>4.0030000000000001</v>
      </c>
      <c r="Q45" s="53">
        <v>3.633</v>
      </c>
      <c r="R45" s="53">
        <v>3.23</v>
      </c>
      <c r="S45" s="53">
        <v>2.8180000000000001</v>
      </c>
      <c r="T45" s="53">
        <v>2.456</v>
      </c>
      <c r="U45" s="53">
        <v>2.1059999999999999</v>
      </c>
      <c r="V45" s="53">
        <v>1.804</v>
      </c>
      <c r="W45" s="53">
        <v>1.5429999999999999</v>
      </c>
      <c r="X45" s="53">
        <v>1.33</v>
      </c>
      <c r="Y45" s="53">
        <v>1.161</v>
      </c>
      <c r="Z45" s="53">
        <v>1.0009999999999999</v>
      </c>
      <c r="AA45" s="53">
        <v>0.88600000000000001</v>
      </c>
      <c r="AB45" s="53">
        <v>0.78</v>
      </c>
      <c r="AC45" s="53">
        <v>0.69699999999999995</v>
      </c>
      <c r="AD45" s="53">
        <v>0.59199999999999997</v>
      </c>
      <c r="AE45" s="53">
        <v>0.57299999999999995</v>
      </c>
      <c r="AF45" s="53">
        <v>0.50900000000000001</v>
      </c>
      <c r="AH45" s="54">
        <f t="shared" si="0"/>
        <v>-0.11192727272727272</v>
      </c>
      <c r="AI45" s="54">
        <f t="shared" si="1"/>
        <v>227.61589090909089</v>
      </c>
    </row>
    <row r="46" spans="1:35" s="56" customFormat="1" ht="16.5" customHeight="1">
      <c r="A46" s="52" t="s">
        <v>597</v>
      </c>
      <c r="B46" s="53">
        <v>0.32600000000000001</v>
      </c>
      <c r="C46" s="53">
        <v>0.33500000000000002</v>
      </c>
      <c r="D46" s="53">
        <v>0.32600000000000001</v>
      </c>
      <c r="E46" s="53">
        <v>0.32800000000000001</v>
      </c>
      <c r="F46" s="53">
        <v>0.32300000000000001</v>
      </c>
      <c r="G46" s="53">
        <v>0.32200000000000001</v>
      </c>
      <c r="H46" s="53">
        <v>0.318</v>
      </c>
      <c r="I46" s="53">
        <v>0.3</v>
      </c>
      <c r="J46" s="53">
        <v>0.28399999999999997</v>
      </c>
      <c r="K46" s="53">
        <v>0.28100000000000003</v>
      </c>
      <c r="L46" s="53">
        <v>0.28000000000000003</v>
      </c>
      <c r="M46" s="53">
        <v>0.252</v>
      </c>
      <c r="N46" s="53">
        <v>0.23699999999999999</v>
      </c>
      <c r="O46" s="53">
        <v>0.223</v>
      </c>
      <c r="P46" s="53">
        <v>0.20499999999999999</v>
      </c>
      <c r="Q46" s="53">
        <v>0.184</v>
      </c>
      <c r="R46" s="53">
        <v>0.16</v>
      </c>
      <c r="S46" s="53">
        <v>0.13600000000000001</v>
      </c>
      <c r="T46" s="53">
        <v>0.11600000000000001</v>
      </c>
      <c r="U46" s="53">
        <v>9.5000000000000001E-2</v>
      </c>
      <c r="V46" s="53">
        <v>7.8E-2</v>
      </c>
      <c r="W46" s="53">
        <v>6.2E-2</v>
      </c>
      <c r="X46" s="53">
        <v>5.1999999999999998E-2</v>
      </c>
      <c r="Y46" s="53">
        <v>4.3999999999999997E-2</v>
      </c>
      <c r="Z46" s="53">
        <v>3.9E-2</v>
      </c>
      <c r="AA46" s="53">
        <v>3.3000000000000002E-2</v>
      </c>
      <c r="AB46" s="53">
        <v>2.8000000000000001E-2</v>
      </c>
      <c r="AC46" s="53">
        <v>2.3E-2</v>
      </c>
      <c r="AD46" s="53">
        <v>1.6E-2</v>
      </c>
      <c r="AE46" s="53">
        <v>1.6E-2</v>
      </c>
      <c r="AF46" s="53">
        <v>1.2999999999999999E-2</v>
      </c>
      <c r="AH46" s="54">
        <f t="shared" si="0"/>
        <v>-5.3696969696969705E-3</v>
      </c>
      <c r="AI46" s="54">
        <f t="shared" si="1"/>
        <v>10.908921212121214</v>
      </c>
    </row>
    <row r="47" spans="1:35" s="48" customFormat="1" ht="16.5" customHeight="1">
      <c r="A47" s="52" t="s">
        <v>598</v>
      </c>
      <c r="B47" s="53">
        <v>3.0000000000000001E-3</v>
      </c>
      <c r="C47" s="53">
        <v>3.0000000000000001E-3</v>
      </c>
      <c r="D47" s="53">
        <v>3.0000000000000001E-3</v>
      </c>
      <c r="E47" s="53">
        <v>3.0000000000000001E-3</v>
      </c>
      <c r="F47" s="53">
        <v>3.0000000000000001E-3</v>
      </c>
      <c r="G47" s="53">
        <v>3.0000000000000001E-3</v>
      </c>
      <c r="H47" s="53">
        <v>3.0000000000000001E-3</v>
      </c>
      <c r="I47" s="53">
        <v>3.0000000000000001E-3</v>
      </c>
      <c r="J47" s="53">
        <v>3.0000000000000001E-3</v>
      </c>
      <c r="K47" s="53">
        <v>3.0000000000000001E-3</v>
      </c>
      <c r="L47" s="53">
        <v>3.0000000000000001E-3</v>
      </c>
      <c r="M47" s="53">
        <v>3.0000000000000001E-3</v>
      </c>
      <c r="N47" s="53">
        <v>3.0000000000000001E-3</v>
      </c>
      <c r="O47" s="53">
        <v>3.0000000000000001E-3</v>
      </c>
      <c r="P47" s="53">
        <v>3.0000000000000001E-3</v>
      </c>
      <c r="Q47" s="53">
        <v>3.0000000000000001E-3</v>
      </c>
      <c r="R47" s="53">
        <v>3.0000000000000001E-3</v>
      </c>
      <c r="S47" s="53">
        <v>3.0000000000000001E-3</v>
      </c>
      <c r="T47" s="53">
        <v>3.0000000000000001E-3</v>
      </c>
      <c r="U47" s="53">
        <v>3.0000000000000001E-3</v>
      </c>
      <c r="V47" s="53">
        <v>3.0000000000000001E-3</v>
      </c>
      <c r="W47" s="53">
        <v>3.0000000000000001E-3</v>
      </c>
      <c r="X47" s="53">
        <v>3.0000000000000001E-3</v>
      </c>
      <c r="Y47" s="53">
        <v>3.0000000000000001E-3</v>
      </c>
      <c r="Z47" s="53">
        <v>3.0000000000000001E-3</v>
      </c>
      <c r="AA47" s="53">
        <v>3.0000000000000001E-3</v>
      </c>
      <c r="AB47" s="53">
        <v>3.0000000000000001E-3</v>
      </c>
      <c r="AC47" s="53">
        <v>3.0000000000000001E-3</v>
      </c>
      <c r="AD47" s="53">
        <v>3.0000000000000001E-3</v>
      </c>
      <c r="AE47" s="53">
        <v>3.0000000000000001E-3</v>
      </c>
      <c r="AF47" s="53">
        <v>3.0000000000000001E-3</v>
      </c>
      <c r="AH47" s="54">
        <f t="shared" si="0"/>
        <v>0</v>
      </c>
      <c r="AI47" s="54">
        <f t="shared" si="1"/>
        <v>2.9999999999999996E-3</v>
      </c>
    </row>
    <row r="48" spans="1:35" s="48" customFormat="1" ht="16.5" customHeight="1">
      <c r="A48" s="52" t="s">
        <v>599</v>
      </c>
      <c r="B48" s="53">
        <v>2E-3</v>
      </c>
      <c r="C48" s="53">
        <v>2E-3</v>
      </c>
      <c r="D48" s="53">
        <v>2E-3</v>
      </c>
      <c r="E48" s="53">
        <v>2E-3</v>
      </c>
      <c r="F48" s="53">
        <v>2E-3</v>
      </c>
      <c r="G48" s="53">
        <v>2E-3</v>
      </c>
      <c r="H48" s="53">
        <v>2E-3</v>
      </c>
      <c r="I48" s="53">
        <v>2E-3</v>
      </c>
      <c r="J48" s="53">
        <v>2E-3</v>
      </c>
      <c r="K48" s="53">
        <v>2E-3</v>
      </c>
      <c r="L48" s="53">
        <v>2E-3</v>
      </c>
      <c r="M48" s="53">
        <v>2E-3</v>
      </c>
      <c r="N48" s="53">
        <v>2E-3</v>
      </c>
      <c r="O48" s="53">
        <v>2E-3</v>
      </c>
      <c r="P48" s="53">
        <v>2E-3</v>
      </c>
      <c r="Q48" s="53">
        <v>2E-3</v>
      </c>
      <c r="R48" s="53">
        <v>2E-3</v>
      </c>
      <c r="S48" s="53">
        <v>2E-3</v>
      </c>
      <c r="T48" s="53">
        <v>2E-3</v>
      </c>
      <c r="U48" s="53">
        <v>2E-3</v>
      </c>
      <c r="V48" s="53">
        <v>2E-3</v>
      </c>
      <c r="W48" s="53">
        <v>2E-3</v>
      </c>
      <c r="X48" s="53">
        <v>2E-3</v>
      </c>
      <c r="Y48" s="53">
        <v>2E-3</v>
      </c>
      <c r="Z48" s="53">
        <v>2E-3</v>
      </c>
      <c r="AA48" s="53">
        <v>2E-3</v>
      </c>
      <c r="AB48" s="53">
        <v>2E-3</v>
      </c>
      <c r="AC48" s="53">
        <v>2E-3</v>
      </c>
      <c r="AD48" s="53">
        <v>2E-3</v>
      </c>
      <c r="AE48" s="53">
        <v>2E-3</v>
      </c>
      <c r="AF48" s="53">
        <v>2E-3</v>
      </c>
      <c r="AH48" s="54">
        <f t="shared" si="0"/>
        <v>0</v>
      </c>
      <c r="AI48" s="54">
        <f t="shared" si="1"/>
        <v>2.0000000000000005E-3</v>
      </c>
    </row>
    <row r="49" spans="1:35" s="48" customFormat="1" ht="16.5" customHeight="1">
      <c r="A49" s="51" t="s">
        <v>601</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H49" s="54"/>
      <c r="AI49" s="54"/>
    </row>
    <row r="50" spans="1:35" s="48" customFormat="1" ht="16.5" customHeight="1">
      <c r="A50" s="52" t="s">
        <v>594</v>
      </c>
      <c r="B50" s="53">
        <v>0.93500000000000005</v>
      </c>
      <c r="C50" s="53">
        <v>0.93</v>
      </c>
      <c r="D50" s="53">
        <v>0.93400000000000005</v>
      </c>
      <c r="E50" s="53">
        <v>0.94799999999999995</v>
      </c>
      <c r="F50" s="53">
        <v>0.98099999999999998</v>
      </c>
      <c r="G50" s="53">
        <v>0.96899999999999997</v>
      </c>
      <c r="H50" s="53">
        <v>0.94</v>
      </c>
      <c r="I50" s="53">
        <v>0.85499999999999998</v>
      </c>
      <c r="J50" s="53">
        <v>0.82</v>
      </c>
      <c r="K50" s="53">
        <v>0.80800000000000005</v>
      </c>
      <c r="L50" s="53">
        <v>0.79600000000000004</v>
      </c>
      <c r="M50" s="53">
        <v>0.72899999999999998</v>
      </c>
      <c r="N50" s="53">
        <v>0.66600000000000004</v>
      </c>
      <c r="O50" s="53">
        <v>0.60199999999999998</v>
      </c>
      <c r="P50" s="53">
        <v>0.53</v>
      </c>
      <c r="Q50" s="53">
        <v>0.46400000000000002</v>
      </c>
      <c r="R50" s="53">
        <v>0.40799999999999997</v>
      </c>
      <c r="S50" s="53">
        <v>0.36899999999999999</v>
      </c>
      <c r="T50" s="53">
        <v>0.33</v>
      </c>
      <c r="U50" s="53">
        <v>0.29599999999999999</v>
      </c>
      <c r="V50" s="53">
        <v>0.26900000000000002</v>
      </c>
      <c r="W50" s="53">
        <v>0.246</v>
      </c>
      <c r="X50" s="53">
        <v>0.22600000000000001</v>
      </c>
      <c r="Y50" s="53">
        <v>0.20899999999999999</v>
      </c>
      <c r="Z50" s="53">
        <v>0.19500000000000001</v>
      </c>
      <c r="AA50" s="53">
        <v>0.183</v>
      </c>
      <c r="AB50" s="53">
        <v>0.17399999999999999</v>
      </c>
      <c r="AC50" s="53">
        <v>0.16500000000000001</v>
      </c>
      <c r="AD50" s="53">
        <v>0.157</v>
      </c>
      <c r="AE50" s="53">
        <v>0.15</v>
      </c>
      <c r="AF50" s="53">
        <v>0.14499999999999999</v>
      </c>
      <c r="AH50" s="54">
        <f t="shared" si="0"/>
        <v>-1.090909090909091E-2</v>
      </c>
      <c r="AI50" s="54">
        <f t="shared" si="1"/>
        <v>22.281363636363636</v>
      </c>
    </row>
    <row r="51" spans="1:35" s="48" customFormat="1" ht="16.5" customHeight="1">
      <c r="A51" s="52" t="s">
        <v>595</v>
      </c>
      <c r="B51" s="53">
        <v>4.5990000000000002</v>
      </c>
      <c r="C51" s="53">
        <v>4.5819999999999999</v>
      </c>
      <c r="D51" s="53">
        <v>4.6029999999999998</v>
      </c>
      <c r="E51" s="53">
        <v>4.6509999999999998</v>
      </c>
      <c r="F51" s="53">
        <v>4.7919999999999998</v>
      </c>
      <c r="G51" s="53">
        <v>4.6609999999999996</v>
      </c>
      <c r="H51" s="53">
        <v>4.4109999999999996</v>
      </c>
      <c r="I51" s="53">
        <v>3.9550000000000001</v>
      </c>
      <c r="J51" s="53">
        <v>3.7429999999999999</v>
      </c>
      <c r="K51" s="53">
        <v>3.6469999999999998</v>
      </c>
      <c r="L51" s="53">
        <v>3.6059999999999999</v>
      </c>
      <c r="M51" s="53">
        <v>3.351</v>
      </c>
      <c r="N51" s="53">
        <v>3.1829999999999998</v>
      </c>
      <c r="O51" s="53">
        <v>3.0430000000000001</v>
      </c>
      <c r="P51" s="53">
        <v>2.8029999999999999</v>
      </c>
      <c r="Q51" s="53">
        <v>2.5990000000000002</v>
      </c>
      <c r="R51" s="53">
        <v>2.4380000000000002</v>
      </c>
      <c r="S51" s="53">
        <v>2.3170000000000002</v>
      </c>
      <c r="T51" s="53">
        <v>2.1930000000000001</v>
      </c>
      <c r="U51" s="53">
        <v>2.0920000000000001</v>
      </c>
      <c r="V51" s="53">
        <v>2</v>
      </c>
      <c r="W51" s="53">
        <v>1.923</v>
      </c>
      <c r="X51" s="53">
        <v>1.8460000000000001</v>
      </c>
      <c r="Y51" s="53">
        <v>1.7829999999999999</v>
      </c>
      <c r="Z51" s="53">
        <v>1.724</v>
      </c>
      <c r="AA51" s="53">
        <v>1.671</v>
      </c>
      <c r="AB51" s="53">
        <v>1.6259999999999999</v>
      </c>
      <c r="AC51" s="53">
        <v>1.5860000000000001</v>
      </c>
      <c r="AD51" s="53">
        <v>1.5489999999999999</v>
      </c>
      <c r="AE51" s="53">
        <v>1.5169999999999999</v>
      </c>
      <c r="AF51" s="53">
        <v>1.492</v>
      </c>
      <c r="AH51" s="54">
        <f t="shared" si="0"/>
        <v>-4.7339393939393952E-2</v>
      </c>
      <c r="AI51" s="54">
        <f t="shared" si="1"/>
        <v>97.557642424242445</v>
      </c>
    </row>
    <row r="52" spans="1:35" s="48" customFormat="1" ht="16.5" customHeight="1">
      <c r="A52" s="52" t="s">
        <v>596</v>
      </c>
      <c r="B52" s="53">
        <v>24.928999999999998</v>
      </c>
      <c r="C52" s="53">
        <v>23.901</v>
      </c>
      <c r="D52" s="53">
        <v>22.902000000000001</v>
      </c>
      <c r="E52" s="53">
        <v>21.408999999999999</v>
      </c>
      <c r="F52" s="53">
        <v>20.079999999999998</v>
      </c>
      <c r="G52" s="53">
        <v>18.396999999999998</v>
      </c>
      <c r="H52" s="53">
        <v>16.646000000000001</v>
      </c>
      <c r="I52" s="53">
        <v>14.994</v>
      </c>
      <c r="J52" s="53">
        <v>13.956</v>
      </c>
      <c r="K52" s="53">
        <v>13.146000000000001</v>
      </c>
      <c r="L52" s="53">
        <v>12.409000000000001</v>
      </c>
      <c r="M52" s="53">
        <v>11.311</v>
      </c>
      <c r="N52" s="53">
        <v>10.057</v>
      </c>
      <c r="O52" s="53">
        <v>8.9489999999999998</v>
      </c>
      <c r="P52" s="53">
        <v>7.8570000000000002</v>
      </c>
      <c r="Q52" s="53">
        <v>6.923</v>
      </c>
      <c r="R52" s="53">
        <v>6.133</v>
      </c>
      <c r="S52" s="53">
        <v>5.6150000000000002</v>
      </c>
      <c r="T52" s="53">
        <v>5.0590000000000002</v>
      </c>
      <c r="U52" s="53">
        <v>4.58</v>
      </c>
      <c r="V52" s="53">
        <v>4.1689999999999996</v>
      </c>
      <c r="W52" s="53">
        <v>3.8220000000000001</v>
      </c>
      <c r="X52" s="53">
        <v>3.5179999999999998</v>
      </c>
      <c r="Y52" s="53">
        <v>3.2690000000000001</v>
      </c>
      <c r="Z52" s="53">
        <v>3.06</v>
      </c>
      <c r="AA52" s="53">
        <v>2.883</v>
      </c>
      <c r="AB52" s="53">
        <v>2.742</v>
      </c>
      <c r="AC52" s="53">
        <v>2.6160000000000001</v>
      </c>
      <c r="AD52" s="53">
        <v>2.5009999999999999</v>
      </c>
      <c r="AE52" s="53">
        <v>2.3959999999999999</v>
      </c>
      <c r="AF52" s="53">
        <v>2.3149999999999999</v>
      </c>
      <c r="AH52" s="54">
        <f t="shared" si="0"/>
        <v>-0.16200000000000001</v>
      </c>
      <c r="AI52" s="54">
        <f t="shared" si="1"/>
        <v>331.04320000000001</v>
      </c>
    </row>
    <row r="53" spans="1:35" s="48" customFormat="1" ht="16.5" customHeight="1">
      <c r="A53" s="52" t="s">
        <v>597</v>
      </c>
      <c r="B53" s="53">
        <v>1.0469999999999999</v>
      </c>
      <c r="C53" s="53">
        <v>0.998</v>
      </c>
      <c r="D53" s="53">
        <v>0.94699999999999995</v>
      </c>
      <c r="E53" s="53">
        <v>0.90700000000000003</v>
      </c>
      <c r="F53" s="53">
        <v>0.88200000000000001</v>
      </c>
      <c r="G53" s="53">
        <v>0.83499999999999996</v>
      </c>
      <c r="H53" s="53">
        <v>0.78300000000000003</v>
      </c>
      <c r="I53" s="53">
        <v>0.67500000000000004</v>
      </c>
      <c r="J53" s="53">
        <v>0.625</v>
      </c>
      <c r="K53" s="53">
        <v>0.59099999999999997</v>
      </c>
      <c r="L53" s="53">
        <v>0.56100000000000005</v>
      </c>
      <c r="M53" s="53">
        <v>0.48699999999999999</v>
      </c>
      <c r="N53" s="53">
        <v>0.42199999999999999</v>
      </c>
      <c r="O53" s="53">
        <v>0.36399999999999999</v>
      </c>
      <c r="P53" s="53">
        <v>0.30599999999999999</v>
      </c>
      <c r="Q53" s="53">
        <v>0.255</v>
      </c>
      <c r="R53" s="53">
        <v>0.21099999999999999</v>
      </c>
      <c r="S53" s="53">
        <v>0.182</v>
      </c>
      <c r="T53" s="53">
        <v>0.151</v>
      </c>
      <c r="U53" s="53">
        <v>0.126</v>
      </c>
      <c r="V53" s="53">
        <v>0.106</v>
      </c>
      <c r="W53" s="53">
        <v>0.09</v>
      </c>
      <c r="X53" s="53">
        <v>7.5999999999999998E-2</v>
      </c>
      <c r="Y53" s="53">
        <v>6.5000000000000002E-2</v>
      </c>
      <c r="Z53" s="53">
        <v>5.7000000000000002E-2</v>
      </c>
      <c r="AA53" s="53">
        <v>4.9000000000000002E-2</v>
      </c>
      <c r="AB53" s="53">
        <v>4.2999999999999997E-2</v>
      </c>
      <c r="AC53" s="53">
        <v>3.7999999999999999E-2</v>
      </c>
      <c r="AD53" s="53">
        <v>3.3000000000000002E-2</v>
      </c>
      <c r="AE53" s="53">
        <v>2.9000000000000001E-2</v>
      </c>
      <c r="AF53" s="53">
        <v>2.5999999999999999E-2</v>
      </c>
      <c r="AH53" s="54">
        <f t="shared" si="0"/>
        <v>-6.8363636363636361E-3</v>
      </c>
      <c r="AI53" s="54">
        <f t="shared" si="1"/>
        <v>13.897654545454545</v>
      </c>
    </row>
    <row r="54" spans="1:35" s="48" customFormat="1" ht="16.5" customHeight="1">
      <c r="A54" s="52" t="s">
        <v>598</v>
      </c>
      <c r="B54" s="53">
        <v>0.01</v>
      </c>
      <c r="C54" s="53">
        <v>0.01</v>
      </c>
      <c r="D54" s="53">
        <v>8.9999999999999993E-3</v>
      </c>
      <c r="E54" s="53">
        <v>8.9999999999999993E-3</v>
      </c>
      <c r="F54" s="53">
        <v>8.9999999999999993E-3</v>
      </c>
      <c r="G54" s="53">
        <v>8.9999999999999993E-3</v>
      </c>
      <c r="H54" s="53">
        <v>8.9999999999999993E-3</v>
      </c>
      <c r="I54" s="53">
        <v>8.9999999999999993E-3</v>
      </c>
      <c r="J54" s="53">
        <v>8.9999999999999993E-3</v>
      </c>
      <c r="K54" s="53">
        <v>8.9999999999999993E-3</v>
      </c>
      <c r="L54" s="53">
        <v>8.9999999999999993E-3</v>
      </c>
      <c r="M54" s="53">
        <v>8.9999999999999993E-3</v>
      </c>
      <c r="N54" s="53">
        <v>8.9999999999999993E-3</v>
      </c>
      <c r="O54" s="53">
        <v>8.9999999999999993E-3</v>
      </c>
      <c r="P54" s="53">
        <v>8.9999999999999993E-3</v>
      </c>
      <c r="Q54" s="53">
        <v>8.9999999999999993E-3</v>
      </c>
      <c r="R54" s="53">
        <v>8.9999999999999993E-3</v>
      </c>
      <c r="S54" s="53">
        <v>8.9999999999999993E-3</v>
      </c>
      <c r="T54" s="53">
        <v>8.9999999999999993E-3</v>
      </c>
      <c r="U54" s="53">
        <v>8.9999999999999993E-3</v>
      </c>
      <c r="V54" s="53">
        <v>8.9999999999999993E-3</v>
      </c>
      <c r="W54" s="53">
        <v>8.9999999999999993E-3</v>
      </c>
      <c r="X54" s="53">
        <v>8.9999999999999993E-3</v>
      </c>
      <c r="Y54" s="53">
        <v>8.9999999999999993E-3</v>
      </c>
      <c r="Z54" s="53">
        <v>8.9999999999999993E-3</v>
      </c>
      <c r="AA54" s="53">
        <v>8.9999999999999993E-3</v>
      </c>
      <c r="AB54" s="53">
        <v>8.9999999999999993E-3</v>
      </c>
      <c r="AC54" s="53">
        <v>8.9999999999999993E-3</v>
      </c>
      <c r="AD54" s="53">
        <v>8.9999999999999993E-3</v>
      </c>
      <c r="AE54" s="53">
        <v>8.9999999999999993E-3</v>
      </c>
      <c r="AF54" s="53">
        <v>8.9999999999999993E-3</v>
      </c>
      <c r="AH54" s="54">
        <f t="shared" si="0"/>
        <v>0</v>
      </c>
      <c r="AI54" s="54">
        <f t="shared" si="1"/>
        <v>8.9999999999999976E-3</v>
      </c>
    </row>
    <row r="55" spans="1:35" s="48" customFormat="1" ht="16.5" customHeight="1">
      <c r="A55" s="52" t="s">
        <v>599</v>
      </c>
      <c r="B55" s="53">
        <v>4.0000000000000001E-3</v>
      </c>
      <c r="C55" s="53">
        <v>4.0000000000000001E-3</v>
      </c>
      <c r="D55" s="53">
        <v>4.0000000000000001E-3</v>
      </c>
      <c r="E55" s="53">
        <v>4.0000000000000001E-3</v>
      </c>
      <c r="F55" s="53">
        <v>4.0000000000000001E-3</v>
      </c>
      <c r="G55" s="53">
        <v>4.0000000000000001E-3</v>
      </c>
      <c r="H55" s="53">
        <v>4.0000000000000001E-3</v>
      </c>
      <c r="I55" s="53">
        <v>4.0000000000000001E-3</v>
      </c>
      <c r="J55" s="53">
        <v>3.0000000000000001E-3</v>
      </c>
      <c r="K55" s="53">
        <v>3.0000000000000001E-3</v>
      </c>
      <c r="L55" s="53">
        <v>4.0000000000000001E-3</v>
      </c>
      <c r="M55" s="53">
        <v>4.0000000000000001E-3</v>
      </c>
      <c r="N55" s="53">
        <v>3.0000000000000001E-3</v>
      </c>
      <c r="O55" s="53">
        <v>3.0000000000000001E-3</v>
      </c>
      <c r="P55" s="53">
        <v>3.0000000000000001E-3</v>
      </c>
      <c r="Q55" s="53">
        <v>3.0000000000000001E-3</v>
      </c>
      <c r="R55" s="53">
        <v>3.0000000000000001E-3</v>
      </c>
      <c r="S55" s="53">
        <v>4.0000000000000001E-3</v>
      </c>
      <c r="T55" s="53">
        <v>4.0000000000000001E-3</v>
      </c>
      <c r="U55" s="53">
        <v>4.0000000000000001E-3</v>
      </c>
      <c r="V55" s="53">
        <v>4.0000000000000001E-3</v>
      </c>
      <c r="W55" s="53">
        <v>4.0000000000000001E-3</v>
      </c>
      <c r="X55" s="53">
        <v>4.0000000000000001E-3</v>
      </c>
      <c r="Y55" s="53">
        <v>4.0000000000000001E-3</v>
      </c>
      <c r="Z55" s="53">
        <v>4.0000000000000001E-3</v>
      </c>
      <c r="AA55" s="53">
        <v>4.0000000000000001E-3</v>
      </c>
      <c r="AB55" s="53">
        <v>4.0000000000000001E-3</v>
      </c>
      <c r="AC55" s="53">
        <v>3.0000000000000001E-3</v>
      </c>
      <c r="AD55" s="53">
        <v>3.0000000000000001E-3</v>
      </c>
      <c r="AE55" s="53">
        <v>3.0000000000000001E-3</v>
      </c>
      <c r="AF55" s="53">
        <v>3.0000000000000001E-3</v>
      </c>
      <c r="AH55" s="54">
        <f t="shared" si="0"/>
        <v>-1.4545454545454546E-4</v>
      </c>
      <c r="AI55" s="54">
        <f t="shared" si="1"/>
        <v>0.29821818181818183</v>
      </c>
    </row>
    <row r="56" spans="1:35" s="48" customFormat="1" ht="33" customHeight="1">
      <c r="A56" s="57" t="s">
        <v>604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H56" s="54"/>
      <c r="AI56" s="54"/>
    </row>
    <row r="57" spans="1:35" s="48" customFormat="1" ht="16.5" customHeight="1">
      <c r="A57" s="58" t="s">
        <v>594</v>
      </c>
      <c r="B57" s="53">
        <v>2.0739999999999998</v>
      </c>
      <c r="C57" s="53">
        <v>1.9490000000000001</v>
      </c>
      <c r="D57" s="53">
        <v>1.766</v>
      </c>
      <c r="E57" s="53">
        <v>1.6319999999999999</v>
      </c>
      <c r="F57" s="53">
        <v>1.46</v>
      </c>
      <c r="G57" s="53">
        <v>1.296</v>
      </c>
      <c r="H57" s="53">
        <v>1.1859999999999999</v>
      </c>
      <c r="I57" s="53">
        <v>1.0669999999999999</v>
      </c>
      <c r="J57" s="53">
        <v>0.98599999999999999</v>
      </c>
      <c r="K57" s="53">
        <v>0.92600000000000005</v>
      </c>
      <c r="L57" s="53">
        <v>0.85699999999999998</v>
      </c>
      <c r="M57" s="53">
        <v>0.78500000000000003</v>
      </c>
      <c r="N57" s="53">
        <v>0.70199999999999996</v>
      </c>
      <c r="O57" s="53">
        <v>0.63800000000000001</v>
      </c>
      <c r="P57" s="53">
        <v>0.58799999999999997</v>
      </c>
      <c r="Q57" s="53">
        <v>0.53300000000000003</v>
      </c>
      <c r="R57" s="53">
        <v>0.47399999999999998</v>
      </c>
      <c r="S57" s="53">
        <v>0.434</v>
      </c>
      <c r="T57" s="53">
        <v>0.39800000000000002</v>
      </c>
      <c r="U57" s="53">
        <v>0.36199999999999999</v>
      </c>
      <c r="V57" s="53">
        <v>0.33</v>
      </c>
      <c r="W57" s="53">
        <v>0.31</v>
      </c>
      <c r="X57" s="53">
        <v>0.29299999999999998</v>
      </c>
      <c r="Y57" s="53">
        <v>0.27800000000000002</v>
      </c>
      <c r="Z57" s="53">
        <v>0.26100000000000001</v>
      </c>
      <c r="AA57" s="53">
        <v>0.248</v>
      </c>
      <c r="AB57" s="53">
        <v>0.224</v>
      </c>
      <c r="AC57" s="53">
        <v>0.214</v>
      </c>
      <c r="AD57" s="53">
        <v>0.20100000000000001</v>
      </c>
      <c r="AE57" s="53">
        <v>0.192</v>
      </c>
      <c r="AF57" s="53">
        <v>0.184</v>
      </c>
      <c r="AH57" s="54">
        <f t="shared" si="0"/>
        <v>-1.4490909090909091E-2</v>
      </c>
      <c r="AI57" s="54">
        <f t="shared" si="1"/>
        <v>29.591836363636364</v>
      </c>
    </row>
    <row r="58" spans="1:35" s="48" customFormat="1" ht="16.5" customHeight="1">
      <c r="A58" s="58" t="s">
        <v>595</v>
      </c>
      <c r="B58" s="53">
        <v>23.187000000000001</v>
      </c>
      <c r="C58" s="53">
        <v>21.664999999999999</v>
      </c>
      <c r="D58" s="53">
        <v>19.521999999999998</v>
      </c>
      <c r="E58" s="53">
        <v>17.981999999999999</v>
      </c>
      <c r="F58" s="53">
        <v>16.210999999999999</v>
      </c>
      <c r="G58" s="53">
        <v>14.52</v>
      </c>
      <c r="H58" s="53">
        <v>13.378</v>
      </c>
      <c r="I58" s="53">
        <v>11.986000000000001</v>
      </c>
      <c r="J58" s="53">
        <v>10.922000000000001</v>
      </c>
      <c r="K58" s="53">
        <v>10.315</v>
      </c>
      <c r="L58" s="53">
        <v>9.7859999999999996</v>
      </c>
      <c r="M58" s="53">
        <v>9.2409999999999997</v>
      </c>
      <c r="N58" s="53">
        <v>8.6219999999999999</v>
      </c>
      <c r="O58" s="53">
        <v>8.0239999999999991</v>
      </c>
      <c r="P58" s="53">
        <v>7.65</v>
      </c>
      <c r="Q58" s="53">
        <v>7.1059999999999999</v>
      </c>
      <c r="R58" s="53">
        <v>6.2880000000000003</v>
      </c>
      <c r="S58" s="53">
        <v>5.8460000000000001</v>
      </c>
      <c r="T58" s="53">
        <v>5.4729999999999999</v>
      </c>
      <c r="U58" s="53">
        <v>5.0940000000000003</v>
      </c>
      <c r="V58" s="53">
        <v>4.702</v>
      </c>
      <c r="W58" s="53">
        <v>4.4180000000000001</v>
      </c>
      <c r="X58" s="53">
        <v>4.2050000000000001</v>
      </c>
      <c r="Y58" s="53">
        <v>4</v>
      </c>
      <c r="Z58" s="53">
        <v>3.8050000000000002</v>
      </c>
      <c r="AA58" s="53">
        <v>3.6070000000000002</v>
      </c>
      <c r="AB58" s="53">
        <v>3.3690000000000002</v>
      </c>
      <c r="AC58" s="53">
        <v>3.198</v>
      </c>
      <c r="AD58" s="53">
        <v>3.01</v>
      </c>
      <c r="AE58" s="53">
        <v>2.8319999999999999</v>
      </c>
      <c r="AF58" s="53">
        <v>2.681</v>
      </c>
      <c r="AH58" s="54">
        <f t="shared" si="0"/>
        <v>-0.19547272727272733</v>
      </c>
      <c r="AI58" s="54">
        <f t="shared" si="1"/>
        <v>399.4425090909092</v>
      </c>
    </row>
    <row r="59" spans="1:35" s="48" customFormat="1" ht="16.5" customHeight="1">
      <c r="A59" s="58" t="s">
        <v>596</v>
      </c>
      <c r="B59" s="53">
        <v>4.6130000000000004</v>
      </c>
      <c r="C59" s="53">
        <v>4.4669999999999996</v>
      </c>
      <c r="D59" s="53">
        <v>4.2210000000000001</v>
      </c>
      <c r="E59" s="53">
        <v>4.01</v>
      </c>
      <c r="F59" s="53">
        <v>3.6269999999999998</v>
      </c>
      <c r="G59" s="53">
        <v>3.2690000000000001</v>
      </c>
      <c r="H59" s="53">
        <v>3.0539999999999998</v>
      </c>
      <c r="I59" s="53">
        <v>2.762</v>
      </c>
      <c r="J59" s="53">
        <v>2.6259999999999999</v>
      </c>
      <c r="K59" s="53">
        <v>2.3959999999999999</v>
      </c>
      <c r="L59" s="53">
        <v>2.238</v>
      </c>
      <c r="M59" s="53">
        <v>1.996</v>
      </c>
      <c r="N59" s="53">
        <v>1.8009999999999999</v>
      </c>
      <c r="O59" s="53">
        <v>1.6180000000000001</v>
      </c>
      <c r="P59" s="53">
        <v>1.4259999999999999</v>
      </c>
      <c r="Q59" s="53">
        <v>1.2370000000000001</v>
      </c>
      <c r="R59" s="53">
        <v>1.0860000000000001</v>
      </c>
      <c r="S59" s="53">
        <v>0.97899999999999998</v>
      </c>
      <c r="T59" s="53">
        <v>0.876</v>
      </c>
      <c r="U59" s="53">
        <v>0.77100000000000002</v>
      </c>
      <c r="V59" s="53">
        <v>0.68600000000000005</v>
      </c>
      <c r="W59" s="53">
        <v>0.623</v>
      </c>
      <c r="X59" s="53">
        <v>0.56899999999999995</v>
      </c>
      <c r="Y59" s="53">
        <v>0.52400000000000002</v>
      </c>
      <c r="Z59" s="53">
        <v>0.47499999999999998</v>
      </c>
      <c r="AA59" s="53">
        <v>0.44</v>
      </c>
      <c r="AB59" s="53">
        <v>0.40200000000000002</v>
      </c>
      <c r="AC59" s="53">
        <v>0.377</v>
      </c>
      <c r="AD59" s="53">
        <v>0.35199999999999998</v>
      </c>
      <c r="AE59" s="53">
        <v>0.32800000000000001</v>
      </c>
      <c r="AF59" s="53">
        <v>0.31</v>
      </c>
      <c r="AH59" s="54">
        <f t="shared" si="0"/>
        <v>-3.4521212121212119E-2</v>
      </c>
      <c r="AI59" s="54">
        <f t="shared" si="1"/>
        <v>70.362715151515147</v>
      </c>
    </row>
    <row r="60" spans="1:35" s="48" customFormat="1" ht="16.5" customHeight="1">
      <c r="A60" s="58" t="s">
        <v>597</v>
      </c>
      <c r="B60" s="53">
        <v>0.11700000000000001</v>
      </c>
      <c r="C60" s="53">
        <v>0.114</v>
      </c>
      <c r="D60" s="53">
        <v>0.107</v>
      </c>
      <c r="E60" s="53">
        <v>0.104</v>
      </c>
      <c r="F60" s="53">
        <v>9.9000000000000005E-2</v>
      </c>
      <c r="G60" s="53">
        <v>9.2999999999999999E-2</v>
      </c>
      <c r="H60" s="53">
        <v>9.0999999999999998E-2</v>
      </c>
      <c r="I60" s="53">
        <v>8.1000000000000003E-2</v>
      </c>
      <c r="J60" s="53">
        <v>7.6999999999999999E-2</v>
      </c>
      <c r="K60" s="53">
        <v>7.0000000000000007E-2</v>
      </c>
      <c r="L60" s="53">
        <v>6.6000000000000003E-2</v>
      </c>
      <c r="M60" s="53">
        <v>5.5E-2</v>
      </c>
      <c r="N60" s="53">
        <v>4.9000000000000002E-2</v>
      </c>
      <c r="O60" s="53">
        <v>4.2999999999999997E-2</v>
      </c>
      <c r="P60" s="53">
        <v>3.6999999999999998E-2</v>
      </c>
      <c r="Q60" s="53">
        <v>3.2000000000000001E-2</v>
      </c>
      <c r="R60" s="53">
        <v>2.7E-2</v>
      </c>
      <c r="S60" s="53">
        <v>2.4E-2</v>
      </c>
      <c r="T60" s="53">
        <v>2.1000000000000001E-2</v>
      </c>
      <c r="U60" s="53">
        <v>1.9E-2</v>
      </c>
      <c r="V60" s="53">
        <v>1.6E-2</v>
      </c>
      <c r="W60" s="53">
        <v>1.4E-2</v>
      </c>
      <c r="X60" s="53">
        <v>1.2999999999999999E-2</v>
      </c>
      <c r="Y60" s="53">
        <v>1.2E-2</v>
      </c>
      <c r="Z60" s="53">
        <v>1.0999999999999999E-2</v>
      </c>
      <c r="AA60" s="53">
        <v>0.01</v>
      </c>
      <c r="AB60" s="53">
        <v>8.9999999999999993E-3</v>
      </c>
      <c r="AC60" s="53">
        <v>8.9999999999999993E-3</v>
      </c>
      <c r="AD60" s="53">
        <v>8.0000000000000002E-3</v>
      </c>
      <c r="AE60" s="53">
        <v>7.0000000000000001E-3</v>
      </c>
      <c r="AF60" s="53">
        <v>7.0000000000000001E-3</v>
      </c>
      <c r="AH60" s="54">
        <f t="shared" si="0"/>
        <v>-8.0000000000000004E-4</v>
      </c>
      <c r="AI60" s="54">
        <f t="shared" si="1"/>
        <v>1.6304000000000001</v>
      </c>
    </row>
    <row r="61" spans="1:35" s="48" customFormat="1" ht="16.5" customHeight="1">
      <c r="A61" s="58" t="s">
        <v>598</v>
      </c>
      <c r="B61" s="53">
        <v>3.0000000000000001E-3</v>
      </c>
      <c r="C61" s="53">
        <v>3.0000000000000001E-3</v>
      </c>
      <c r="D61" s="53">
        <v>3.0000000000000001E-3</v>
      </c>
      <c r="E61" s="53">
        <v>3.0000000000000001E-3</v>
      </c>
      <c r="F61" s="53">
        <v>3.0000000000000001E-3</v>
      </c>
      <c r="G61" s="53">
        <v>3.0000000000000001E-3</v>
      </c>
      <c r="H61" s="53">
        <v>3.0000000000000001E-3</v>
      </c>
      <c r="I61" s="53">
        <v>3.0000000000000001E-3</v>
      </c>
      <c r="J61" s="53">
        <v>3.0000000000000001E-3</v>
      </c>
      <c r="K61" s="53">
        <v>3.0000000000000001E-3</v>
      </c>
      <c r="L61" s="53">
        <v>3.0000000000000001E-3</v>
      </c>
      <c r="M61" s="53">
        <v>3.0000000000000001E-3</v>
      </c>
      <c r="N61" s="53">
        <v>3.0000000000000001E-3</v>
      </c>
      <c r="O61" s="53">
        <v>3.0000000000000001E-3</v>
      </c>
      <c r="P61" s="53">
        <v>3.0000000000000001E-3</v>
      </c>
      <c r="Q61" s="53">
        <v>3.0000000000000001E-3</v>
      </c>
      <c r="R61" s="53">
        <v>3.0000000000000001E-3</v>
      </c>
      <c r="S61" s="53">
        <v>3.0000000000000001E-3</v>
      </c>
      <c r="T61" s="53">
        <v>3.0000000000000001E-3</v>
      </c>
      <c r="U61" s="53">
        <v>3.0000000000000001E-3</v>
      </c>
      <c r="V61" s="53">
        <v>3.0000000000000001E-3</v>
      </c>
      <c r="W61" s="53">
        <v>3.0000000000000001E-3</v>
      </c>
      <c r="X61" s="53">
        <v>3.0000000000000001E-3</v>
      </c>
      <c r="Y61" s="53">
        <v>3.0000000000000001E-3</v>
      </c>
      <c r="Z61" s="53">
        <v>3.0000000000000001E-3</v>
      </c>
      <c r="AA61" s="53">
        <v>3.0000000000000001E-3</v>
      </c>
      <c r="AB61" s="53">
        <v>3.0000000000000001E-3</v>
      </c>
      <c r="AC61" s="53">
        <v>3.0000000000000001E-3</v>
      </c>
      <c r="AD61" s="53">
        <v>3.0000000000000001E-3</v>
      </c>
      <c r="AE61" s="53">
        <v>3.0000000000000001E-3</v>
      </c>
      <c r="AF61" s="53">
        <v>4.0000000000000001E-3</v>
      </c>
      <c r="AH61" s="54">
        <f t="shared" si="0"/>
        <v>5.4545454545454553E-5</v>
      </c>
      <c r="AI61" s="54">
        <f t="shared" si="1"/>
        <v>-0.10738181818181819</v>
      </c>
    </row>
    <row r="62" spans="1:35" s="48" customFormat="1" ht="16.5" customHeight="1" thickBot="1">
      <c r="A62" s="59" t="s">
        <v>599</v>
      </c>
      <c r="B62" s="60">
        <v>2E-3</v>
      </c>
      <c r="C62" s="60">
        <v>2E-3</v>
      </c>
      <c r="D62" s="60">
        <v>2E-3</v>
      </c>
      <c r="E62" s="60">
        <v>2E-3</v>
      </c>
      <c r="F62" s="60">
        <v>1E-3</v>
      </c>
      <c r="G62" s="60">
        <v>1E-3</v>
      </c>
      <c r="H62" s="60">
        <v>2E-3</v>
      </c>
      <c r="I62" s="60">
        <v>2E-3</v>
      </c>
      <c r="J62" s="60">
        <v>2E-3</v>
      </c>
      <c r="K62" s="60">
        <v>1E-3</v>
      </c>
      <c r="L62" s="60">
        <v>1E-3</v>
      </c>
      <c r="M62" s="60">
        <v>1E-3</v>
      </c>
      <c r="N62" s="60">
        <v>1E-3</v>
      </c>
      <c r="O62" s="60">
        <v>1E-3</v>
      </c>
      <c r="P62" s="60">
        <v>1E-3</v>
      </c>
      <c r="Q62" s="60">
        <v>1E-3</v>
      </c>
      <c r="R62" s="60">
        <v>1E-3</v>
      </c>
      <c r="S62" s="60">
        <v>1E-3</v>
      </c>
      <c r="T62" s="60">
        <v>1E-3</v>
      </c>
      <c r="U62" s="60">
        <v>1E-3</v>
      </c>
      <c r="V62" s="60">
        <v>1E-3</v>
      </c>
      <c r="W62" s="60">
        <v>1E-3</v>
      </c>
      <c r="X62" s="60">
        <v>1E-3</v>
      </c>
      <c r="Y62" s="60">
        <v>1E-3</v>
      </c>
      <c r="Z62" s="60">
        <v>1E-3</v>
      </c>
      <c r="AA62" s="60">
        <v>1E-3</v>
      </c>
      <c r="AB62" s="60">
        <v>2E-3</v>
      </c>
      <c r="AC62" s="60">
        <v>2E-3</v>
      </c>
      <c r="AD62" s="60">
        <v>2E-3</v>
      </c>
      <c r="AE62" s="60">
        <v>2E-3</v>
      </c>
      <c r="AF62" s="60">
        <v>2E-3</v>
      </c>
      <c r="AH62" s="54">
        <f t="shared" si="0"/>
        <v>1.5151515151515152E-4</v>
      </c>
      <c r="AI62" s="54">
        <f t="shared" si="1"/>
        <v>-0.30539393939393938</v>
      </c>
    </row>
    <row r="63" spans="1:35" s="61" customFormat="1" ht="12.75" customHeight="1">
      <c r="A63" s="268" t="s">
        <v>605</v>
      </c>
      <c r="B63" s="268"/>
      <c r="C63" s="268"/>
      <c r="D63" s="268"/>
      <c r="E63" s="268"/>
      <c r="F63" s="268"/>
      <c r="G63" s="268"/>
      <c r="H63" s="268"/>
      <c r="I63" s="268"/>
      <c r="J63" s="268"/>
      <c r="K63" s="268"/>
      <c r="L63" s="268"/>
      <c r="M63" s="268"/>
      <c r="N63" s="268"/>
      <c r="O63" s="268"/>
      <c r="P63" s="268"/>
      <c r="Q63" s="268"/>
      <c r="R63" s="268"/>
      <c r="S63" s="268"/>
      <c r="T63" s="268"/>
    </row>
    <row r="64" spans="1:35" s="61" customFormat="1" ht="12.75" customHeight="1">
      <c r="A64" s="269"/>
      <c r="B64" s="269"/>
      <c r="C64" s="269"/>
      <c r="D64" s="269"/>
      <c r="E64" s="269"/>
      <c r="F64" s="269"/>
      <c r="G64" s="269"/>
      <c r="H64" s="269"/>
      <c r="I64" s="269"/>
      <c r="J64" s="269"/>
      <c r="K64" s="269"/>
      <c r="L64" s="269"/>
      <c r="M64" s="269"/>
      <c r="N64" s="269"/>
      <c r="O64" s="269"/>
      <c r="P64" s="269"/>
      <c r="Q64" s="269"/>
      <c r="R64" s="269"/>
      <c r="S64" s="269"/>
      <c r="T64" s="269"/>
    </row>
    <row r="65" spans="1:20" s="61" customFormat="1" ht="12.75" customHeight="1">
      <c r="A65" s="270" t="s">
        <v>606</v>
      </c>
      <c r="B65" s="270"/>
      <c r="C65" s="270"/>
      <c r="D65" s="270"/>
      <c r="E65" s="270"/>
      <c r="F65" s="270"/>
      <c r="G65" s="270"/>
      <c r="H65" s="270"/>
      <c r="I65" s="270"/>
      <c r="J65" s="270"/>
      <c r="K65" s="270"/>
      <c r="L65" s="270"/>
      <c r="M65" s="270"/>
      <c r="N65" s="270"/>
      <c r="O65" s="270"/>
      <c r="P65" s="270"/>
      <c r="Q65" s="270"/>
      <c r="R65" s="270"/>
      <c r="S65" s="270"/>
      <c r="T65" s="270"/>
    </row>
    <row r="66" spans="1:20" s="61" customFormat="1" ht="11.5">
      <c r="A66" s="269" t="s">
        <v>607</v>
      </c>
      <c r="B66" s="269"/>
      <c r="C66" s="269"/>
      <c r="D66" s="269"/>
      <c r="E66" s="269"/>
      <c r="F66" s="269"/>
      <c r="G66" s="269"/>
      <c r="H66" s="269"/>
      <c r="I66" s="269"/>
      <c r="J66" s="269"/>
      <c r="K66" s="269"/>
      <c r="L66" s="269"/>
      <c r="M66" s="269"/>
      <c r="N66" s="269"/>
      <c r="O66" s="269"/>
      <c r="P66" s="269"/>
      <c r="Q66" s="269"/>
      <c r="R66" s="269"/>
      <c r="S66" s="269"/>
      <c r="T66" s="269"/>
    </row>
    <row r="67" spans="1:20" s="61" customFormat="1" ht="25.5" customHeight="1">
      <c r="A67" s="269" t="s">
        <v>608</v>
      </c>
      <c r="B67" s="269"/>
      <c r="C67" s="269"/>
      <c r="D67" s="269"/>
      <c r="E67" s="269"/>
      <c r="F67" s="269"/>
      <c r="G67" s="269"/>
      <c r="H67" s="269"/>
      <c r="I67" s="269"/>
      <c r="J67" s="269"/>
      <c r="K67" s="269"/>
      <c r="L67" s="269"/>
      <c r="M67" s="269"/>
      <c r="N67" s="269"/>
      <c r="O67" s="269"/>
      <c r="P67" s="269"/>
      <c r="Q67" s="269"/>
      <c r="R67" s="269"/>
      <c r="S67" s="269"/>
      <c r="T67" s="269"/>
    </row>
    <row r="68" spans="1:20" s="61" customFormat="1" ht="12.75" customHeight="1">
      <c r="A68" s="271" t="s">
        <v>609</v>
      </c>
      <c r="B68" s="271"/>
      <c r="C68" s="271"/>
      <c r="D68" s="271"/>
      <c r="E68" s="271"/>
      <c r="F68" s="271"/>
      <c r="G68" s="271"/>
      <c r="H68" s="271"/>
      <c r="I68" s="271"/>
      <c r="J68" s="271"/>
      <c r="K68" s="271"/>
      <c r="L68" s="271"/>
      <c r="M68" s="271"/>
      <c r="N68" s="271"/>
      <c r="O68" s="271"/>
      <c r="P68" s="271"/>
      <c r="Q68" s="271"/>
      <c r="R68" s="271"/>
      <c r="S68" s="271"/>
      <c r="T68" s="271"/>
    </row>
    <row r="69" spans="1:20" s="61" customFormat="1" ht="12.75" customHeight="1">
      <c r="A69" s="271" t="s">
        <v>610</v>
      </c>
      <c r="B69" s="271"/>
      <c r="C69" s="271"/>
      <c r="D69" s="271"/>
      <c r="E69" s="271"/>
      <c r="F69" s="271"/>
      <c r="G69" s="271"/>
      <c r="H69" s="271"/>
      <c r="I69" s="271"/>
      <c r="J69" s="271"/>
      <c r="K69" s="271"/>
      <c r="L69" s="271"/>
      <c r="M69" s="271"/>
      <c r="N69" s="271"/>
      <c r="O69" s="271"/>
      <c r="P69" s="271"/>
      <c r="Q69" s="271"/>
      <c r="R69" s="271"/>
      <c r="S69" s="271"/>
      <c r="T69" s="271"/>
    </row>
    <row r="70" spans="1:20" s="61" customFormat="1" ht="25.5" customHeight="1">
      <c r="A70" s="269" t="s">
        <v>611</v>
      </c>
      <c r="B70" s="269"/>
      <c r="C70" s="269"/>
      <c r="D70" s="269"/>
      <c r="E70" s="269"/>
      <c r="F70" s="269"/>
      <c r="G70" s="269"/>
      <c r="H70" s="269"/>
      <c r="I70" s="269"/>
      <c r="J70" s="269"/>
      <c r="K70" s="269"/>
      <c r="L70" s="269"/>
      <c r="M70" s="269"/>
      <c r="N70" s="269"/>
      <c r="O70" s="269"/>
      <c r="P70" s="269"/>
      <c r="Q70" s="269"/>
      <c r="R70" s="269"/>
      <c r="S70" s="269"/>
      <c r="T70" s="269"/>
    </row>
    <row r="71" spans="1:20" s="61" customFormat="1" ht="12.75" customHeight="1">
      <c r="A71" s="269"/>
      <c r="B71" s="269"/>
      <c r="C71" s="269"/>
      <c r="D71" s="269"/>
      <c r="E71" s="269"/>
      <c r="F71" s="269"/>
      <c r="G71" s="269"/>
      <c r="H71" s="269"/>
      <c r="I71" s="269"/>
      <c r="J71" s="269"/>
      <c r="K71" s="269"/>
      <c r="L71" s="269"/>
      <c r="M71" s="269"/>
      <c r="N71" s="269"/>
      <c r="O71" s="269"/>
      <c r="P71" s="269"/>
      <c r="Q71" s="269"/>
      <c r="R71" s="269"/>
      <c r="S71" s="269"/>
      <c r="T71" s="269"/>
    </row>
    <row r="72" spans="1:20" s="61" customFormat="1" ht="12.75" customHeight="1">
      <c r="A72" s="272" t="s">
        <v>612</v>
      </c>
      <c r="B72" s="272"/>
      <c r="C72" s="272"/>
      <c r="D72" s="272"/>
      <c r="E72" s="272"/>
      <c r="F72" s="272"/>
      <c r="G72" s="272"/>
      <c r="H72" s="272"/>
      <c r="I72" s="272"/>
      <c r="J72" s="272"/>
      <c r="K72" s="272"/>
      <c r="L72" s="272"/>
      <c r="M72" s="272"/>
      <c r="N72" s="272"/>
      <c r="O72" s="272"/>
      <c r="P72" s="272"/>
      <c r="Q72" s="272"/>
      <c r="R72" s="272"/>
      <c r="S72" s="272"/>
      <c r="T72" s="272"/>
    </row>
    <row r="73" spans="1:20" s="61" customFormat="1" ht="12.75" customHeight="1">
      <c r="A73" s="266" t="s">
        <v>613</v>
      </c>
      <c r="B73" s="266"/>
      <c r="C73" s="266"/>
      <c r="D73" s="266"/>
      <c r="E73" s="266"/>
      <c r="F73" s="266"/>
      <c r="G73" s="266"/>
      <c r="H73" s="266"/>
      <c r="I73" s="266"/>
      <c r="J73" s="266"/>
      <c r="K73" s="266"/>
      <c r="L73" s="266"/>
      <c r="M73" s="266"/>
      <c r="N73" s="266"/>
      <c r="O73" s="266"/>
      <c r="P73" s="266"/>
      <c r="Q73" s="266"/>
      <c r="R73" s="266"/>
      <c r="S73" s="266"/>
      <c r="T73" s="266"/>
    </row>
    <row r="75" spans="1:20" ht="14.5">
      <c r="A75" s="43" t="s">
        <v>614</v>
      </c>
    </row>
    <row r="76" spans="1:20">
      <c r="A76" s="44" t="s">
        <v>615</v>
      </c>
    </row>
    <row r="78" spans="1:20">
      <c r="A78" s="65" t="s">
        <v>616</v>
      </c>
    </row>
    <row r="80" spans="1:20" ht="14">
      <c r="A80" s="1" t="s">
        <v>332</v>
      </c>
    </row>
    <row r="81" spans="1:7" s="211" customFormat="1">
      <c r="A81" s="211" t="s">
        <v>617</v>
      </c>
      <c r="B81" s="211">
        <v>206379000</v>
      </c>
      <c r="C81" s="211" t="s">
        <v>618</v>
      </c>
      <c r="D81" s="211" t="s">
        <v>619</v>
      </c>
      <c r="E81" s="211" t="s">
        <v>620</v>
      </c>
      <c r="F81" s="211" t="s">
        <v>621</v>
      </c>
      <c r="G81" s="211" t="s">
        <v>622</v>
      </c>
    </row>
    <row r="82" spans="1:7">
      <c r="B82" s="44" t="s">
        <v>623</v>
      </c>
      <c r="C82" s="44">
        <v>7.2689081737967529E-6</v>
      </c>
      <c r="D82" s="44">
        <v>4.4267827637501882E-5</v>
      </c>
      <c r="E82" s="44">
        <v>1.1761128797019077E-5</v>
      </c>
      <c r="F82" s="44">
        <v>1.1283609281952136E-5</v>
      </c>
      <c r="G82" s="44">
        <v>1.066460250316166E-5</v>
      </c>
    </row>
    <row r="83" spans="1:7">
      <c r="B83" s="44" t="s">
        <v>624</v>
      </c>
      <c r="C83" s="44">
        <v>7.268908173796753E-9</v>
      </c>
      <c r="D83" s="44">
        <v>4.4267827637501882E-8</v>
      </c>
      <c r="E83" s="44">
        <v>1.1761128797019078E-8</v>
      </c>
      <c r="F83" s="44">
        <v>1.1283609281952137E-8</v>
      </c>
      <c r="G83" s="44">
        <v>1.066460250316166E-8</v>
      </c>
    </row>
    <row r="84" spans="1:7">
      <c r="B84" s="212" t="s">
        <v>625</v>
      </c>
      <c r="C84" s="212">
        <v>1.6025180338115796E-2</v>
      </c>
      <c r="D84" s="212">
        <v>9.7593738166189395E-2</v>
      </c>
      <c r="E84" s="212">
        <v>2.5928819768484195E-2</v>
      </c>
      <c r="F84" s="212">
        <v>2.4876070695177319E-2</v>
      </c>
      <c r="G84" s="212">
        <v>2.3511395970520259E-2</v>
      </c>
    </row>
    <row r="85" spans="1:7">
      <c r="B85" s="44" t="s">
        <v>626</v>
      </c>
      <c r="C85" s="44">
        <v>1.6025180338115795E-5</v>
      </c>
      <c r="D85" s="44">
        <v>9.75937381661894E-5</v>
      </c>
      <c r="E85" s="44">
        <v>2.5928819768484197E-5</v>
      </c>
      <c r="F85" s="44">
        <v>2.4876070695177319E-5</v>
      </c>
      <c r="G85" s="44">
        <v>2.3511395970520257E-5</v>
      </c>
    </row>
  </sheetData>
  <mergeCells count="12">
    <mergeCell ref="A73:T73"/>
    <mergeCell ref="A2:AF2"/>
    <mergeCell ref="A63:T63"/>
    <mergeCell ref="A64:T64"/>
    <mergeCell ref="A65:T65"/>
    <mergeCell ref="A66:T66"/>
    <mergeCell ref="A67:T67"/>
    <mergeCell ref="A68:T68"/>
    <mergeCell ref="A69:T69"/>
    <mergeCell ref="A70:T70"/>
    <mergeCell ref="A71:T71"/>
    <mergeCell ref="A72:T72"/>
  </mergeCells>
  <hyperlinks>
    <hyperlink ref="A75" r:id="rId1" xr:uid="{80FCDEE6-999E-4A33-B679-8FD649EA1C8D}"/>
  </hyperlinks>
  <pageMargins left="0.7" right="0.7" top="0.75" bottom="0.75" header="0.3" footer="0.3"/>
  <pageSetup orientation="portrait"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3FD30-5EB3-4084-849C-E562187024EE}">
  <dimension ref="A1:O7"/>
  <sheetViews>
    <sheetView workbookViewId="0">
      <selection activeCell="A2" sqref="A2:XFD2"/>
    </sheetView>
  </sheetViews>
  <sheetFormatPr defaultColWidth="8.81640625" defaultRowHeight="14"/>
  <cols>
    <col min="1" max="1" width="8.81640625" style="1"/>
    <col min="2" max="2" width="41.54296875" style="1" bestFit="1" customWidth="1"/>
    <col min="3" max="3" width="8.54296875" style="1" customWidth="1"/>
    <col min="4" max="4" width="12.81640625" style="1" customWidth="1"/>
    <col min="5" max="15" width="14" style="1" customWidth="1"/>
    <col min="16" max="16384" width="8.81640625" style="1"/>
  </cols>
  <sheetData>
    <row r="1" spans="1:15" s="22" customFormat="1" ht="84">
      <c r="A1" s="22" t="s">
        <v>627</v>
      </c>
      <c r="B1" s="22" t="s">
        <v>628</v>
      </c>
      <c r="C1" s="22" t="s">
        <v>629</v>
      </c>
      <c r="D1" s="22" t="s">
        <v>630</v>
      </c>
      <c r="E1" s="22" t="s">
        <v>631</v>
      </c>
      <c r="F1" s="22" t="s">
        <v>632</v>
      </c>
      <c r="G1" s="22" t="s">
        <v>633</v>
      </c>
      <c r="H1" s="22" t="s">
        <v>634</v>
      </c>
      <c r="I1" s="22" t="s">
        <v>635</v>
      </c>
      <c r="J1" s="22" t="s">
        <v>636</v>
      </c>
      <c r="K1" s="22" t="s">
        <v>637</v>
      </c>
      <c r="L1" s="22" t="s">
        <v>638</v>
      </c>
      <c r="M1" s="22" t="s">
        <v>639</v>
      </c>
      <c r="N1" s="22" t="s">
        <v>640</v>
      </c>
      <c r="O1" s="22" t="s">
        <v>641</v>
      </c>
    </row>
    <row r="2" spans="1:15" s="22" customFormat="1">
      <c r="A2" s="1">
        <v>203.01</v>
      </c>
      <c r="B2" s="1" t="s">
        <v>642</v>
      </c>
      <c r="C2" s="204">
        <f>E2/D2</f>
        <v>0.53120302188096746</v>
      </c>
      <c r="D2" s="204">
        <v>3584.3169590000002</v>
      </c>
      <c r="E2" s="66">
        <v>1904</v>
      </c>
      <c r="F2" s="1">
        <v>0</v>
      </c>
      <c r="G2" s="1">
        <v>8</v>
      </c>
      <c r="H2" s="1">
        <v>108</v>
      </c>
      <c r="I2" s="1">
        <v>116</v>
      </c>
      <c r="J2" s="1">
        <v>88</v>
      </c>
      <c r="K2" s="1">
        <v>316</v>
      </c>
      <c r="L2" s="1">
        <v>298</v>
      </c>
      <c r="M2" s="1">
        <v>216</v>
      </c>
      <c r="N2" s="1">
        <v>290</v>
      </c>
      <c r="O2" s="1">
        <v>464</v>
      </c>
    </row>
    <row r="3" spans="1:15">
      <c r="A3" s="1">
        <v>203.02</v>
      </c>
      <c r="B3" s="1" t="s">
        <v>642</v>
      </c>
      <c r="C3" s="204">
        <f>E3/D3</f>
        <v>0.70416059452606894</v>
      </c>
      <c r="D3" s="204">
        <v>3183.932781</v>
      </c>
      <c r="E3" s="66">
        <v>2242</v>
      </c>
      <c r="F3" s="1">
        <v>0</v>
      </c>
      <c r="G3" s="1">
        <v>45</v>
      </c>
      <c r="H3" s="1">
        <v>262</v>
      </c>
      <c r="I3" s="1">
        <v>113</v>
      </c>
      <c r="J3" s="1">
        <v>169</v>
      </c>
      <c r="K3" s="1">
        <v>247</v>
      </c>
      <c r="L3" s="1">
        <v>531</v>
      </c>
      <c r="M3" s="1">
        <v>362</v>
      </c>
      <c r="N3" s="1">
        <v>123</v>
      </c>
      <c r="O3" s="1">
        <v>390</v>
      </c>
    </row>
    <row r="4" spans="1:15">
      <c r="A4" s="1">
        <v>204</v>
      </c>
      <c r="B4" s="1" t="s">
        <v>642</v>
      </c>
      <c r="C4" s="204">
        <f>E4/D4</f>
        <v>1.0966480931536793</v>
      </c>
      <c r="D4" s="204">
        <v>2256.877129</v>
      </c>
      <c r="E4" s="66">
        <v>2475</v>
      </c>
      <c r="F4" s="1">
        <v>0</v>
      </c>
      <c r="G4" s="1">
        <v>0</v>
      </c>
      <c r="H4" s="1">
        <v>0</v>
      </c>
      <c r="I4" s="1">
        <v>106</v>
      </c>
      <c r="J4" s="1">
        <v>97</v>
      </c>
      <c r="K4" s="1">
        <v>325</v>
      </c>
      <c r="L4" s="1">
        <v>373</v>
      </c>
      <c r="M4" s="1">
        <v>629</v>
      </c>
      <c r="N4" s="1">
        <v>455</v>
      </c>
      <c r="O4" s="1">
        <v>490</v>
      </c>
    </row>
    <row r="5" spans="1:15">
      <c r="A5" s="1">
        <v>205</v>
      </c>
      <c r="B5" s="1" t="s">
        <v>642</v>
      </c>
      <c r="C5" s="204">
        <f>E5/D5</f>
        <v>0.44478770952985891</v>
      </c>
      <c r="D5" s="204">
        <v>4559.4785030000003</v>
      </c>
      <c r="E5" s="66">
        <v>2028</v>
      </c>
      <c r="F5" s="1">
        <v>0</v>
      </c>
      <c r="G5" s="1">
        <v>25</v>
      </c>
      <c r="H5" s="1">
        <v>259</v>
      </c>
      <c r="I5" s="1">
        <v>99</v>
      </c>
      <c r="J5" s="1">
        <v>7</v>
      </c>
      <c r="K5" s="1">
        <v>369</v>
      </c>
      <c r="L5" s="1">
        <v>203</v>
      </c>
      <c r="M5" s="1">
        <v>484</v>
      </c>
      <c r="N5" s="1">
        <v>516</v>
      </c>
      <c r="O5" s="1">
        <v>66</v>
      </c>
    </row>
    <row r="6" spans="1:15">
      <c r="A6" s="1">
        <v>215</v>
      </c>
      <c r="B6" s="1" t="s">
        <v>642</v>
      </c>
      <c r="C6" s="205">
        <f>E6/D6</f>
        <v>0.19396591320145859</v>
      </c>
      <c r="D6" s="204">
        <v>15770.812250000001</v>
      </c>
      <c r="E6" s="66">
        <v>3059</v>
      </c>
      <c r="F6" s="1">
        <v>38</v>
      </c>
      <c r="G6" s="1">
        <v>60</v>
      </c>
      <c r="H6" s="1">
        <v>493</v>
      </c>
      <c r="I6" s="1">
        <v>532</v>
      </c>
      <c r="J6" s="1">
        <v>248</v>
      </c>
      <c r="K6" s="1">
        <v>707</v>
      </c>
      <c r="L6" s="1">
        <v>414</v>
      </c>
      <c r="M6" s="1">
        <v>369</v>
      </c>
      <c r="N6" s="1">
        <v>124</v>
      </c>
      <c r="O6" s="1">
        <v>74</v>
      </c>
    </row>
    <row r="7" spans="1:15">
      <c r="A7" s="22"/>
      <c r="B7" s="22"/>
      <c r="C7" s="22"/>
      <c r="D7" s="22"/>
      <c r="E7" s="22"/>
      <c r="F7" s="22"/>
      <c r="G7" s="22"/>
      <c r="H7" s="22"/>
      <c r="I7" s="22"/>
      <c r="J7" s="22"/>
      <c r="K7" s="22"/>
      <c r="L7" s="22"/>
      <c r="M7" s="22"/>
      <c r="N7" s="22"/>
      <c r="O7" s="22"/>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0EF2-12D0-4C84-8DE9-42BEF924F420}">
  <sheetPr filterMode="1"/>
  <dimension ref="A1:R475"/>
  <sheetViews>
    <sheetView workbookViewId="0"/>
  </sheetViews>
  <sheetFormatPr defaultColWidth="8.7265625" defaultRowHeight="12.5"/>
  <cols>
    <col min="1" max="1" width="28.7265625" style="169" bestFit="1" customWidth="1"/>
    <col min="2" max="2" width="10.26953125" style="169" bestFit="1" customWidth="1"/>
    <col min="3" max="3" width="8.7265625" style="169"/>
    <col min="4" max="16" width="4.7265625" style="169" customWidth="1"/>
    <col min="17" max="17" width="8.7265625" style="169"/>
    <col min="18" max="18" width="24.26953125" style="170" customWidth="1"/>
    <col min="19" max="16384" width="8.7265625" style="169"/>
  </cols>
  <sheetData>
    <row r="1" spans="1:18" s="1" customFormat="1" ht="14">
      <c r="A1" s="1" t="s">
        <v>643</v>
      </c>
    </row>
    <row r="2" spans="1:18" s="1" customFormat="1" ht="14">
      <c r="A2" s="1" t="s">
        <v>644</v>
      </c>
    </row>
    <row r="3" spans="1:18" s="1" customFormat="1" ht="14">
      <c r="A3" s="1" t="s">
        <v>645</v>
      </c>
    </row>
    <row r="5" spans="1:18" s="166" customFormat="1" ht="41.65" customHeight="1">
      <c r="A5" s="166" t="s">
        <v>646</v>
      </c>
      <c r="B5" s="166" t="s">
        <v>647</v>
      </c>
      <c r="C5" s="166" t="s">
        <v>648</v>
      </c>
      <c r="D5" s="167">
        <v>0</v>
      </c>
      <c r="E5" s="167">
        <v>1</v>
      </c>
      <c r="F5" s="167">
        <v>2</v>
      </c>
      <c r="G5" s="167">
        <v>3</v>
      </c>
      <c r="H5" s="167">
        <v>4</v>
      </c>
      <c r="I5" s="167">
        <v>5</v>
      </c>
      <c r="J5" s="167">
        <v>6</v>
      </c>
      <c r="K5" s="167">
        <v>7</v>
      </c>
      <c r="L5" s="167">
        <v>8</v>
      </c>
      <c r="M5" s="167">
        <v>9</v>
      </c>
      <c r="N5" s="167">
        <v>10</v>
      </c>
      <c r="O5" s="167">
        <v>11</v>
      </c>
      <c r="P5" s="167">
        <v>12</v>
      </c>
      <c r="Q5" s="166" t="s">
        <v>649</v>
      </c>
      <c r="R5" s="168" t="s">
        <v>650</v>
      </c>
    </row>
    <row r="6" spans="1:18" hidden="1">
      <c r="A6" s="169" t="s">
        <v>651</v>
      </c>
      <c r="B6" s="169" t="s">
        <v>652</v>
      </c>
      <c r="C6" s="169" t="s">
        <v>653</v>
      </c>
      <c r="D6" s="169">
        <v>9</v>
      </c>
      <c r="E6" s="169">
        <v>46</v>
      </c>
      <c r="F6" s="169">
        <v>23</v>
      </c>
      <c r="G6" s="169">
        <v>17</v>
      </c>
      <c r="H6" s="169">
        <v>4</v>
      </c>
      <c r="I6" s="169">
        <v>1</v>
      </c>
      <c r="J6" s="169">
        <v>0</v>
      </c>
      <c r="K6" s="169">
        <v>1</v>
      </c>
      <c r="L6" s="169">
        <v>0</v>
      </c>
      <c r="M6" s="169">
        <v>0</v>
      </c>
      <c r="N6" s="169">
        <v>0</v>
      </c>
      <c r="O6" s="169">
        <v>0</v>
      </c>
      <c r="P6" s="169">
        <v>0</v>
      </c>
      <c r="Q6" s="169">
        <v>101</v>
      </c>
      <c r="R6" s="170">
        <f t="shared" ref="R6:R69" si="0">SUM(D6*D$5,E6*E$5,F6*F$5,G6*G$5,H6*H$5,I6*I$5,J6*J$5,K6*K$5,L6*L$5,M6*M$5,N6*N$5,O6*O$5,P6*P$5)/Q6</f>
        <v>1.693069306930693</v>
      </c>
    </row>
    <row r="7" spans="1:18" hidden="1">
      <c r="A7" s="169" t="s">
        <v>651</v>
      </c>
      <c r="B7" s="169" t="s">
        <v>652</v>
      </c>
      <c r="C7" s="169" t="s">
        <v>654</v>
      </c>
      <c r="D7" s="169">
        <v>15</v>
      </c>
      <c r="E7" s="169">
        <v>146</v>
      </c>
      <c r="F7" s="169">
        <v>114</v>
      </c>
      <c r="G7" s="169">
        <v>10</v>
      </c>
      <c r="H7" s="169">
        <v>0</v>
      </c>
      <c r="I7" s="169">
        <v>4</v>
      </c>
      <c r="J7" s="169">
        <v>0</v>
      </c>
      <c r="K7" s="169">
        <v>6</v>
      </c>
      <c r="L7" s="169">
        <v>0</v>
      </c>
      <c r="M7" s="169">
        <v>0</v>
      </c>
      <c r="N7" s="169">
        <v>0</v>
      </c>
      <c r="O7" s="169">
        <v>0</v>
      </c>
      <c r="P7" s="169">
        <v>0</v>
      </c>
      <c r="Q7" s="169">
        <v>295</v>
      </c>
      <c r="R7" s="170">
        <f t="shared" si="0"/>
        <v>1.5796610169491525</v>
      </c>
    </row>
    <row r="8" spans="1:18" hidden="1">
      <c r="A8" s="169" t="s">
        <v>651</v>
      </c>
      <c r="B8" s="169" t="s">
        <v>652</v>
      </c>
      <c r="C8" s="169" t="s">
        <v>655</v>
      </c>
      <c r="D8" s="169">
        <v>33</v>
      </c>
      <c r="E8" s="169">
        <v>124</v>
      </c>
      <c r="F8" s="169">
        <v>87</v>
      </c>
      <c r="G8" s="169">
        <v>15</v>
      </c>
      <c r="H8" s="169">
        <v>6</v>
      </c>
      <c r="I8" s="169">
        <v>0</v>
      </c>
      <c r="J8" s="169">
        <v>0</v>
      </c>
      <c r="K8" s="169">
        <v>0</v>
      </c>
      <c r="L8" s="169">
        <v>0</v>
      </c>
      <c r="M8" s="169">
        <v>0</v>
      </c>
      <c r="N8" s="169">
        <v>0</v>
      </c>
      <c r="O8" s="169">
        <v>0</v>
      </c>
      <c r="P8" s="169">
        <v>0</v>
      </c>
      <c r="Q8" s="169">
        <v>266</v>
      </c>
      <c r="R8" s="170">
        <f t="shared" si="0"/>
        <v>1.3796992481203008</v>
      </c>
    </row>
    <row r="9" spans="1:18" hidden="1">
      <c r="A9" s="169" t="s">
        <v>651</v>
      </c>
      <c r="B9" s="169" t="s">
        <v>652</v>
      </c>
      <c r="C9" s="169" t="s">
        <v>656</v>
      </c>
      <c r="D9" s="169">
        <v>17</v>
      </c>
      <c r="E9" s="169">
        <v>134</v>
      </c>
      <c r="F9" s="169">
        <v>103</v>
      </c>
      <c r="G9" s="169">
        <v>53</v>
      </c>
      <c r="H9" s="169">
        <v>5</v>
      </c>
      <c r="I9" s="169">
        <v>2</v>
      </c>
      <c r="J9" s="169">
        <v>1</v>
      </c>
      <c r="K9" s="169">
        <v>0</v>
      </c>
      <c r="L9" s="169">
        <v>0</v>
      </c>
      <c r="M9" s="169">
        <v>0</v>
      </c>
      <c r="N9" s="169">
        <v>0</v>
      </c>
      <c r="O9" s="169">
        <v>0</v>
      </c>
      <c r="P9" s="169">
        <v>0</v>
      </c>
      <c r="Q9" s="169">
        <v>313</v>
      </c>
      <c r="R9" s="170">
        <f t="shared" si="0"/>
        <v>1.7092651757188499</v>
      </c>
    </row>
    <row r="10" spans="1:18" hidden="1">
      <c r="A10" s="169" t="s">
        <v>651</v>
      </c>
      <c r="B10" s="169" t="s">
        <v>652</v>
      </c>
      <c r="C10" s="169" t="s">
        <v>288</v>
      </c>
      <c r="D10" s="169">
        <v>178</v>
      </c>
      <c r="E10" s="169">
        <v>682</v>
      </c>
      <c r="F10" s="169">
        <v>789</v>
      </c>
      <c r="G10" s="169">
        <v>366</v>
      </c>
      <c r="H10" s="169">
        <v>130</v>
      </c>
      <c r="I10" s="169">
        <v>57</v>
      </c>
      <c r="J10" s="169">
        <v>12</v>
      </c>
      <c r="K10" s="169">
        <v>5</v>
      </c>
      <c r="L10" s="169">
        <v>2</v>
      </c>
      <c r="M10" s="169">
        <v>1</v>
      </c>
      <c r="N10" s="169">
        <v>0</v>
      </c>
      <c r="O10" s="169">
        <v>0</v>
      </c>
      <c r="P10" s="169">
        <v>0</v>
      </c>
      <c r="Q10" s="169">
        <v>2223</v>
      </c>
      <c r="R10" s="170">
        <f t="shared" si="0"/>
        <v>1.9320737741790373</v>
      </c>
    </row>
    <row r="11" spans="1:18" hidden="1">
      <c r="A11" s="169" t="s">
        <v>651</v>
      </c>
      <c r="B11" s="169" t="s">
        <v>652</v>
      </c>
      <c r="C11" s="169" t="s">
        <v>657</v>
      </c>
      <c r="D11" s="169">
        <v>18</v>
      </c>
      <c r="E11" s="169">
        <v>153</v>
      </c>
      <c r="F11" s="169">
        <v>118</v>
      </c>
      <c r="G11" s="169">
        <v>51</v>
      </c>
      <c r="H11" s="169">
        <v>30</v>
      </c>
      <c r="I11" s="169">
        <v>24</v>
      </c>
      <c r="J11" s="169">
        <v>0</v>
      </c>
      <c r="K11" s="169">
        <v>0</v>
      </c>
      <c r="L11" s="169">
        <v>0</v>
      </c>
      <c r="M11" s="169">
        <v>0</v>
      </c>
      <c r="N11" s="169">
        <v>0</v>
      </c>
      <c r="O11" s="169">
        <v>0</v>
      </c>
      <c r="P11" s="169">
        <v>0</v>
      </c>
      <c r="Q11" s="169">
        <v>394</v>
      </c>
      <c r="R11" s="170">
        <f t="shared" si="0"/>
        <v>1.984771573604061</v>
      </c>
    </row>
    <row r="12" spans="1:18" hidden="1">
      <c r="A12" s="169" t="s">
        <v>651</v>
      </c>
      <c r="B12" s="169" t="s">
        <v>652</v>
      </c>
      <c r="C12" s="169" t="s">
        <v>658</v>
      </c>
      <c r="D12" s="169">
        <v>117</v>
      </c>
      <c r="E12" s="169">
        <v>140</v>
      </c>
      <c r="F12" s="169">
        <v>58</v>
      </c>
      <c r="G12" s="169">
        <v>34</v>
      </c>
      <c r="H12" s="169">
        <v>5</v>
      </c>
      <c r="I12" s="169">
        <v>0</v>
      </c>
      <c r="J12" s="169">
        <v>0</v>
      </c>
      <c r="K12" s="169">
        <v>0</v>
      </c>
      <c r="L12" s="169">
        <v>0</v>
      </c>
      <c r="M12" s="169">
        <v>0</v>
      </c>
      <c r="N12" s="169">
        <v>0</v>
      </c>
      <c r="O12" s="169">
        <v>0</v>
      </c>
      <c r="P12" s="169">
        <v>0</v>
      </c>
      <c r="Q12" s="169">
        <v>354</v>
      </c>
      <c r="R12" s="170">
        <f t="shared" si="0"/>
        <v>1.0677966101694916</v>
      </c>
    </row>
    <row r="13" spans="1:18" hidden="1">
      <c r="A13" s="169" t="s">
        <v>651</v>
      </c>
      <c r="B13" s="169" t="s">
        <v>652</v>
      </c>
      <c r="C13" s="169" t="s">
        <v>659</v>
      </c>
      <c r="D13" s="169">
        <v>14</v>
      </c>
      <c r="E13" s="169">
        <v>30</v>
      </c>
      <c r="F13" s="169">
        <v>40</v>
      </c>
      <c r="G13" s="169">
        <v>13</v>
      </c>
      <c r="H13" s="169">
        <v>10</v>
      </c>
      <c r="I13" s="169">
        <v>0</v>
      </c>
      <c r="J13" s="169">
        <v>0</v>
      </c>
      <c r="K13" s="169">
        <v>0</v>
      </c>
      <c r="L13" s="169">
        <v>0</v>
      </c>
      <c r="M13" s="169">
        <v>0</v>
      </c>
      <c r="N13" s="169">
        <v>0</v>
      </c>
      <c r="O13" s="169">
        <v>0</v>
      </c>
      <c r="P13" s="169">
        <v>0</v>
      </c>
      <c r="Q13" s="169">
        <v>107</v>
      </c>
      <c r="R13" s="170">
        <f t="shared" si="0"/>
        <v>1.766355140186916</v>
      </c>
    </row>
    <row r="14" spans="1:18" hidden="1">
      <c r="A14" s="169" t="s">
        <v>651</v>
      </c>
      <c r="B14" s="169" t="s">
        <v>652</v>
      </c>
      <c r="C14" s="169" t="s">
        <v>660</v>
      </c>
      <c r="D14" s="169">
        <v>177</v>
      </c>
      <c r="E14" s="169">
        <v>1052</v>
      </c>
      <c r="F14" s="169">
        <v>778</v>
      </c>
      <c r="G14" s="169">
        <v>219</v>
      </c>
      <c r="H14" s="169">
        <v>90</v>
      </c>
      <c r="I14" s="169">
        <v>40</v>
      </c>
      <c r="J14" s="169">
        <v>2</v>
      </c>
      <c r="K14" s="169">
        <v>0</v>
      </c>
      <c r="L14" s="169">
        <v>0</v>
      </c>
      <c r="M14" s="169">
        <v>0</v>
      </c>
      <c r="N14" s="169">
        <v>6</v>
      </c>
      <c r="O14" s="169">
        <v>0</v>
      </c>
      <c r="P14" s="169">
        <v>0</v>
      </c>
      <c r="Q14" s="169">
        <v>2364</v>
      </c>
      <c r="R14" s="170">
        <f t="shared" si="0"/>
        <v>1.648477157360406</v>
      </c>
    </row>
    <row r="15" spans="1:18" hidden="1">
      <c r="A15" s="169" t="s">
        <v>651</v>
      </c>
      <c r="B15" s="169" t="s">
        <v>652</v>
      </c>
      <c r="C15" s="169" t="s">
        <v>661</v>
      </c>
      <c r="D15" s="169">
        <v>78</v>
      </c>
      <c r="E15" s="169">
        <v>321</v>
      </c>
      <c r="F15" s="169">
        <v>241</v>
      </c>
      <c r="G15" s="169">
        <v>80</v>
      </c>
      <c r="H15" s="169">
        <v>20</v>
      </c>
      <c r="I15" s="169">
        <v>7</v>
      </c>
      <c r="J15" s="169">
        <v>3</v>
      </c>
      <c r="K15" s="169">
        <v>0</v>
      </c>
      <c r="L15" s="169">
        <v>0</v>
      </c>
      <c r="M15" s="169">
        <v>0</v>
      </c>
      <c r="N15" s="169">
        <v>0</v>
      </c>
      <c r="O15" s="169">
        <v>0</v>
      </c>
      <c r="P15" s="169">
        <v>0</v>
      </c>
      <c r="Q15" s="169">
        <v>749</v>
      </c>
      <c r="R15" s="170">
        <f t="shared" si="0"/>
        <v>1.5700934579439252</v>
      </c>
    </row>
    <row r="16" spans="1:18" hidden="1">
      <c r="A16" s="169" t="s">
        <v>651</v>
      </c>
      <c r="B16" s="169" t="s">
        <v>652</v>
      </c>
      <c r="C16" s="169" t="s">
        <v>662</v>
      </c>
      <c r="D16" s="169">
        <v>10</v>
      </c>
      <c r="E16" s="169">
        <v>19</v>
      </c>
      <c r="F16" s="169">
        <v>57</v>
      </c>
      <c r="G16" s="169">
        <v>14</v>
      </c>
      <c r="H16" s="169">
        <v>1</v>
      </c>
      <c r="I16" s="169">
        <v>2</v>
      </c>
      <c r="J16" s="169">
        <v>0</v>
      </c>
      <c r="K16" s="169">
        <v>0</v>
      </c>
      <c r="L16" s="169">
        <v>0</v>
      </c>
      <c r="M16" s="169">
        <v>0</v>
      </c>
      <c r="N16" s="169">
        <v>0</v>
      </c>
      <c r="O16" s="169">
        <v>0</v>
      </c>
      <c r="P16" s="169">
        <v>0</v>
      </c>
      <c r="Q16" s="169">
        <v>103</v>
      </c>
      <c r="R16" s="170">
        <f t="shared" si="0"/>
        <v>1.8349514563106797</v>
      </c>
    </row>
    <row r="17" spans="1:18" hidden="1">
      <c r="A17" s="169" t="s">
        <v>651</v>
      </c>
      <c r="B17" s="169" t="s">
        <v>652</v>
      </c>
      <c r="C17" s="169" t="s">
        <v>663</v>
      </c>
      <c r="D17" s="169">
        <v>48</v>
      </c>
      <c r="E17" s="169">
        <v>183</v>
      </c>
      <c r="F17" s="169">
        <v>123</v>
      </c>
      <c r="G17" s="169">
        <v>21</v>
      </c>
      <c r="H17" s="169">
        <v>14</v>
      </c>
      <c r="I17" s="169">
        <v>1</v>
      </c>
      <c r="J17" s="169">
        <v>2</v>
      </c>
      <c r="K17" s="169">
        <v>0</v>
      </c>
      <c r="L17" s="169">
        <v>0</v>
      </c>
      <c r="M17" s="169">
        <v>0</v>
      </c>
      <c r="N17" s="169">
        <v>0</v>
      </c>
      <c r="O17" s="169">
        <v>0</v>
      </c>
      <c r="P17" s="169">
        <v>0</v>
      </c>
      <c r="Q17" s="169">
        <v>392</v>
      </c>
      <c r="R17" s="170">
        <f t="shared" si="0"/>
        <v>1.4413265306122449</v>
      </c>
    </row>
    <row r="18" spans="1:18" hidden="1">
      <c r="A18" s="169" t="s">
        <v>651</v>
      </c>
      <c r="B18" s="169" t="s">
        <v>652</v>
      </c>
      <c r="C18" s="169" t="s">
        <v>664</v>
      </c>
      <c r="D18" s="169">
        <v>8</v>
      </c>
      <c r="E18" s="169">
        <v>87</v>
      </c>
      <c r="F18" s="169">
        <v>69</v>
      </c>
      <c r="G18" s="169">
        <v>27</v>
      </c>
      <c r="H18" s="169">
        <v>20</v>
      </c>
      <c r="I18" s="169">
        <v>2</v>
      </c>
      <c r="J18" s="169">
        <v>0</v>
      </c>
      <c r="K18" s="169">
        <v>0</v>
      </c>
      <c r="L18" s="169">
        <v>3</v>
      </c>
      <c r="M18" s="169">
        <v>0</v>
      </c>
      <c r="N18" s="169">
        <v>0</v>
      </c>
      <c r="O18" s="169">
        <v>0</v>
      </c>
      <c r="P18" s="169">
        <v>0</v>
      </c>
      <c r="Q18" s="169">
        <v>217</v>
      </c>
      <c r="R18" s="170">
        <f t="shared" si="0"/>
        <v>1.935483870967742</v>
      </c>
    </row>
    <row r="19" spans="1:18">
      <c r="A19" s="169" t="s">
        <v>651</v>
      </c>
      <c r="B19" s="169" t="s">
        <v>652</v>
      </c>
      <c r="C19" s="169" t="s">
        <v>665</v>
      </c>
      <c r="D19" s="169">
        <v>92</v>
      </c>
      <c r="E19" s="169">
        <v>323</v>
      </c>
      <c r="F19" s="169">
        <v>287</v>
      </c>
      <c r="G19" s="169">
        <v>140</v>
      </c>
      <c r="H19" s="169">
        <v>42</v>
      </c>
      <c r="I19" s="169">
        <v>23</v>
      </c>
      <c r="J19" s="169">
        <v>0</v>
      </c>
      <c r="K19" s="169">
        <v>3</v>
      </c>
      <c r="L19" s="169">
        <v>0</v>
      </c>
      <c r="M19" s="169">
        <v>0</v>
      </c>
      <c r="N19" s="169">
        <v>0</v>
      </c>
      <c r="O19" s="169">
        <v>0</v>
      </c>
      <c r="P19" s="169">
        <v>0</v>
      </c>
      <c r="Q19" s="169">
        <v>910</v>
      </c>
      <c r="R19" s="170">
        <f t="shared" si="0"/>
        <v>1.7813186813186814</v>
      </c>
    </row>
    <row r="20" spans="1:18" hidden="1">
      <c r="A20" s="169" t="s">
        <v>651</v>
      </c>
      <c r="B20" s="169" t="s">
        <v>652</v>
      </c>
      <c r="C20" s="169" t="s">
        <v>666</v>
      </c>
      <c r="D20" s="169">
        <v>24</v>
      </c>
      <c r="E20" s="169">
        <v>237</v>
      </c>
      <c r="F20" s="169">
        <v>224</v>
      </c>
      <c r="G20" s="169">
        <v>44</v>
      </c>
      <c r="H20" s="169">
        <v>0</v>
      </c>
      <c r="I20" s="169">
        <v>0</v>
      </c>
      <c r="J20" s="169">
        <v>0</v>
      </c>
      <c r="K20" s="169">
        <v>0</v>
      </c>
      <c r="L20" s="169">
        <v>0</v>
      </c>
      <c r="M20" s="169">
        <v>0</v>
      </c>
      <c r="N20" s="169">
        <v>0</v>
      </c>
      <c r="O20" s="169">
        <v>0</v>
      </c>
      <c r="P20" s="169">
        <v>0</v>
      </c>
      <c r="Q20" s="169">
        <v>530</v>
      </c>
      <c r="R20" s="170">
        <f t="shared" si="0"/>
        <v>1.5415094339622641</v>
      </c>
    </row>
    <row r="21" spans="1:18" hidden="1">
      <c r="A21" s="169" t="s">
        <v>651</v>
      </c>
      <c r="B21" s="169" t="s">
        <v>652</v>
      </c>
      <c r="C21" s="169" t="s">
        <v>667</v>
      </c>
      <c r="D21" s="169">
        <v>12</v>
      </c>
      <c r="E21" s="169">
        <v>99</v>
      </c>
      <c r="F21" s="169">
        <v>142</v>
      </c>
      <c r="G21" s="169">
        <v>27</v>
      </c>
      <c r="H21" s="169">
        <v>9</v>
      </c>
      <c r="I21" s="169">
        <v>0</v>
      </c>
      <c r="J21" s="169">
        <v>0</v>
      </c>
      <c r="K21" s="169">
        <v>0</v>
      </c>
      <c r="L21" s="169">
        <v>0</v>
      </c>
      <c r="M21" s="169">
        <v>0</v>
      </c>
      <c r="N21" s="169">
        <v>0</v>
      </c>
      <c r="O21" s="169">
        <v>0</v>
      </c>
      <c r="P21" s="169">
        <v>0</v>
      </c>
      <c r="Q21" s="169">
        <v>289</v>
      </c>
      <c r="R21" s="170">
        <f t="shared" si="0"/>
        <v>1.7301038062283738</v>
      </c>
    </row>
    <row r="22" spans="1:18" hidden="1">
      <c r="A22" s="169" t="s">
        <v>651</v>
      </c>
      <c r="B22" s="169" t="s">
        <v>652</v>
      </c>
      <c r="C22" s="169" t="s">
        <v>668</v>
      </c>
      <c r="D22" s="169">
        <v>3</v>
      </c>
      <c r="E22" s="169">
        <v>135</v>
      </c>
      <c r="F22" s="169">
        <v>101</v>
      </c>
      <c r="G22" s="169">
        <v>36</v>
      </c>
      <c r="H22" s="169">
        <v>0</v>
      </c>
      <c r="I22" s="169">
        <v>6</v>
      </c>
      <c r="J22" s="169">
        <v>0</v>
      </c>
      <c r="K22" s="169">
        <v>0</v>
      </c>
      <c r="L22" s="169">
        <v>3</v>
      </c>
      <c r="M22" s="169">
        <v>0</v>
      </c>
      <c r="N22" s="169">
        <v>0</v>
      </c>
      <c r="O22" s="169">
        <v>0</v>
      </c>
      <c r="P22" s="169">
        <v>0</v>
      </c>
      <c r="Q22" s="169">
        <v>283</v>
      </c>
      <c r="R22" s="170">
        <f t="shared" si="0"/>
        <v>1.7632508833922262</v>
      </c>
    </row>
    <row r="23" spans="1:18" hidden="1">
      <c r="A23" s="169" t="s">
        <v>651</v>
      </c>
      <c r="B23" s="169" t="s">
        <v>652</v>
      </c>
      <c r="C23" s="169" t="s">
        <v>669</v>
      </c>
      <c r="D23" s="169">
        <v>56</v>
      </c>
      <c r="E23" s="169">
        <v>178</v>
      </c>
      <c r="F23" s="169">
        <v>125</v>
      </c>
      <c r="G23" s="169">
        <v>35</v>
      </c>
      <c r="H23" s="169">
        <v>5</v>
      </c>
      <c r="I23" s="169">
        <v>0</v>
      </c>
      <c r="J23" s="169">
        <v>0</v>
      </c>
      <c r="K23" s="169">
        <v>0</v>
      </c>
      <c r="L23" s="169">
        <v>0</v>
      </c>
      <c r="M23" s="169">
        <v>0</v>
      </c>
      <c r="N23" s="169">
        <v>0</v>
      </c>
      <c r="O23" s="169">
        <v>0</v>
      </c>
      <c r="P23" s="169">
        <v>3</v>
      </c>
      <c r="Q23" s="169">
        <v>403</v>
      </c>
      <c r="R23" s="170">
        <f t="shared" si="0"/>
        <v>1.4615384615384615</v>
      </c>
    </row>
    <row r="24" spans="1:18" hidden="1">
      <c r="A24" s="169" t="s">
        <v>651</v>
      </c>
      <c r="B24" s="169" t="s">
        <v>652</v>
      </c>
      <c r="C24" s="169" t="s">
        <v>670</v>
      </c>
      <c r="D24" s="169">
        <v>52</v>
      </c>
      <c r="E24" s="169">
        <v>168</v>
      </c>
      <c r="F24" s="169">
        <v>170</v>
      </c>
      <c r="G24" s="169">
        <v>21</v>
      </c>
      <c r="H24" s="169">
        <v>0</v>
      </c>
      <c r="I24" s="169">
        <v>2</v>
      </c>
      <c r="J24" s="169">
        <v>0</v>
      </c>
      <c r="K24" s="169">
        <v>0</v>
      </c>
      <c r="L24" s="169">
        <v>0</v>
      </c>
      <c r="M24" s="169">
        <v>0</v>
      </c>
      <c r="N24" s="169">
        <v>0</v>
      </c>
      <c r="O24" s="169">
        <v>0</v>
      </c>
      <c r="P24" s="169">
        <v>0</v>
      </c>
      <c r="Q24" s="169">
        <v>412</v>
      </c>
      <c r="R24" s="170">
        <f t="shared" si="0"/>
        <v>1.4101941747572815</v>
      </c>
    </row>
    <row r="25" spans="1:18" hidden="1">
      <c r="A25" s="169" t="s">
        <v>651</v>
      </c>
      <c r="B25" s="169" t="s">
        <v>652</v>
      </c>
      <c r="C25" s="169" t="s">
        <v>671</v>
      </c>
      <c r="D25" s="169">
        <v>60</v>
      </c>
      <c r="E25" s="169">
        <v>205</v>
      </c>
      <c r="F25" s="169">
        <v>149</v>
      </c>
      <c r="G25" s="169">
        <v>51</v>
      </c>
      <c r="H25" s="169">
        <v>14</v>
      </c>
      <c r="I25" s="169">
        <v>17</v>
      </c>
      <c r="J25" s="169">
        <v>0</v>
      </c>
      <c r="K25" s="169">
        <v>0</v>
      </c>
      <c r="L25" s="169">
        <v>0</v>
      </c>
      <c r="M25" s="169">
        <v>0</v>
      </c>
      <c r="N25" s="169">
        <v>0</v>
      </c>
      <c r="O25" s="169">
        <v>0</v>
      </c>
      <c r="P25" s="169">
        <v>0</v>
      </c>
      <c r="Q25" s="169">
        <v>497</v>
      </c>
      <c r="R25" s="170">
        <f t="shared" si="0"/>
        <v>1.6036217303822937</v>
      </c>
    </row>
    <row r="26" spans="1:18" hidden="1">
      <c r="A26" s="169" t="s">
        <v>651</v>
      </c>
      <c r="B26" s="169" t="s">
        <v>652</v>
      </c>
      <c r="C26" s="169" t="s">
        <v>672</v>
      </c>
      <c r="D26" s="169">
        <v>11</v>
      </c>
      <c r="E26" s="169">
        <v>16</v>
      </c>
      <c r="F26" s="169">
        <v>26</v>
      </c>
      <c r="G26" s="169">
        <v>13</v>
      </c>
      <c r="H26" s="169">
        <v>7</v>
      </c>
      <c r="I26" s="169">
        <v>0</v>
      </c>
      <c r="J26" s="169">
        <v>0</v>
      </c>
      <c r="K26" s="169">
        <v>0</v>
      </c>
      <c r="L26" s="169">
        <v>0</v>
      </c>
      <c r="M26" s="169">
        <v>0</v>
      </c>
      <c r="N26" s="169">
        <v>0</v>
      </c>
      <c r="O26" s="169">
        <v>0</v>
      </c>
      <c r="P26" s="169">
        <v>0</v>
      </c>
      <c r="Q26" s="169">
        <v>72</v>
      </c>
      <c r="R26" s="170">
        <f t="shared" si="0"/>
        <v>1.875</v>
      </c>
    </row>
    <row r="27" spans="1:18" hidden="1">
      <c r="A27" s="169" t="s">
        <v>651</v>
      </c>
      <c r="B27" s="169" t="s">
        <v>652</v>
      </c>
      <c r="C27" s="169" t="s">
        <v>673</v>
      </c>
      <c r="D27" s="169">
        <v>123</v>
      </c>
      <c r="E27" s="169">
        <v>261</v>
      </c>
      <c r="F27" s="169">
        <v>208</v>
      </c>
      <c r="G27" s="169">
        <v>83</v>
      </c>
      <c r="H27" s="169">
        <v>39</v>
      </c>
      <c r="I27" s="169">
        <v>0</v>
      </c>
      <c r="J27" s="169">
        <v>0</v>
      </c>
      <c r="K27" s="169">
        <v>0</v>
      </c>
      <c r="L27" s="169">
        <v>0</v>
      </c>
      <c r="M27" s="169">
        <v>0</v>
      </c>
      <c r="N27" s="169">
        <v>0</v>
      </c>
      <c r="O27" s="169">
        <v>0</v>
      </c>
      <c r="P27" s="169">
        <v>0</v>
      </c>
      <c r="Q27" s="169">
        <v>714</v>
      </c>
      <c r="R27" s="170">
        <f t="shared" si="0"/>
        <v>1.5154061624649859</v>
      </c>
    </row>
    <row r="28" spans="1:18" hidden="1">
      <c r="A28" s="169" t="s">
        <v>651</v>
      </c>
      <c r="B28" s="169" t="s">
        <v>652</v>
      </c>
      <c r="C28" s="169" t="s">
        <v>674</v>
      </c>
      <c r="D28" s="169">
        <v>43</v>
      </c>
      <c r="E28" s="169">
        <v>145</v>
      </c>
      <c r="F28" s="169">
        <v>136</v>
      </c>
      <c r="G28" s="169">
        <v>45</v>
      </c>
      <c r="H28" s="169">
        <v>27</v>
      </c>
      <c r="I28" s="169">
        <v>7</v>
      </c>
      <c r="J28" s="169">
        <v>5</v>
      </c>
      <c r="K28" s="169">
        <v>0</v>
      </c>
      <c r="L28" s="169">
        <v>0</v>
      </c>
      <c r="M28" s="169">
        <v>0</v>
      </c>
      <c r="N28" s="169">
        <v>0</v>
      </c>
      <c r="O28" s="169">
        <v>0</v>
      </c>
      <c r="P28" s="169">
        <v>0</v>
      </c>
      <c r="Q28" s="169">
        <v>409</v>
      </c>
      <c r="R28" s="170">
        <f t="shared" si="0"/>
        <v>1.7726161369193154</v>
      </c>
    </row>
    <row r="29" spans="1:18" hidden="1">
      <c r="A29" s="169" t="s">
        <v>651</v>
      </c>
      <c r="B29" s="169" t="s">
        <v>652</v>
      </c>
      <c r="C29" s="169" t="s">
        <v>675</v>
      </c>
      <c r="D29" s="169">
        <v>43</v>
      </c>
      <c r="E29" s="169">
        <v>194</v>
      </c>
      <c r="F29" s="169">
        <v>137</v>
      </c>
      <c r="G29" s="169">
        <v>54</v>
      </c>
      <c r="H29" s="169">
        <v>39</v>
      </c>
      <c r="I29" s="169">
        <v>10</v>
      </c>
      <c r="J29" s="169">
        <v>2</v>
      </c>
      <c r="K29" s="169">
        <v>0</v>
      </c>
      <c r="L29" s="169">
        <v>0</v>
      </c>
      <c r="M29" s="169">
        <v>2</v>
      </c>
      <c r="N29" s="169">
        <v>0</v>
      </c>
      <c r="O29" s="169">
        <v>0</v>
      </c>
      <c r="P29" s="169">
        <v>0</v>
      </c>
      <c r="Q29" s="169">
        <v>480</v>
      </c>
      <c r="R29" s="170">
        <f t="shared" si="0"/>
        <v>1.8041666666666667</v>
      </c>
    </row>
    <row r="30" spans="1:18" hidden="1">
      <c r="A30" s="169" t="s">
        <v>651</v>
      </c>
      <c r="B30" s="169" t="s">
        <v>652</v>
      </c>
      <c r="C30" s="169" t="s">
        <v>676</v>
      </c>
      <c r="D30" s="169">
        <v>4</v>
      </c>
      <c r="E30" s="169">
        <v>116</v>
      </c>
      <c r="F30" s="169">
        <v>66</v>
      </c>
      <c r="G30" s="169">
        <v>18</v>
      </c>
      <c r="H30" s="169">
        <v>0</v>
      </c>
      <c r="I30" s="169">
        <v>0</v>
      </c>
      <c r="J30" s="169">
        <v>0</v>
      </c>
      <c r="K30" s="169">
        <v>0</v>
      </c>
      <c r="L30" s="169">
        <v>0</v>
      </c>
      <c r="M30" s="169">
        <v>0</v>
      </c>
      <c r="N30" s="169">
        <v>0</v>
      </c>
      <c r="O30" s="169">
        <v>0</v>
      </c>
      <c r="P30" s="169">
        <v>0</v>
      </c>
      <c r="Q30" s="169">
        <v>205</v>
      </c>
      <c r="R30" s="170">
        <f t="shared" si="0"/>
        <v>1.473170731707317</v>
      </c>
    </row>
    <row r="31" spans="1:18" hidden="1">
      <c r="A31" s="169" t="s">
        <v>651</v>
      </c>
      <c r="B31" s="169" t="s">
        <v>652</v>
      </c>
      <c r="C31" s="169" t="s">
        <v>677</v>
      </c>
      <c r="D31" s="169">
        <v>12</v>
      </c>
      <c r="E31" s="169">
        <v>32</v>
      </c>
      <c r="F31" s="169">
        <v>49</v>
      </c>
      <c r="G31" s="169">
        <v>21</v>
      </c>
      <c r="H31" s="169">
        <v>9</v>
      </c>
      <c r="I31" s="169">
        <v>2</v>
      </c>
      <c r="J31" s="169">
        <v>0</v>
      </c>
      <c r="K31" s="169">
        <v>2</v>
      </c>
      <c r="L31" s="169">
        <v>0</v>
      </c>
      <c r="M31" s="169">
        <v>0</v>
      </c>
      <c r="N31" s="169">
        <v>0</v>
      </c>
      <c r="O31" s="169">
        <v>0</v>
      </c>
      <c r="P31" s="169">
        <v>0</v>
      </c>
      <c r="Q31" s="169">
        <v>127</v>
      </c>
      <c r="R31" s="170">
        <f t="shared" si="0"/>
        <v>1.9921259842519685</v>
      </c>
    </row>
    <row r="32" spans="1:18" hidden="1">
      <c r="A32" s="169" t="s">
        <v>651</v>
      </c>
      <c r="B32" s="169" t="s">
        <v>652</v>
      </c>
      <c r="C32" s="169" t="s">
        <v>678</v>
      </c>
      <c r="D32" s="169">
        <v>106</v>
      </c>
      <c r="E32" s="169">
        <v>317</v>
      </c>
      <c r="F32" s="169">
        <v>233</v>
      </c>
      <c r="G32" s="169">
        <v>71</v>
      </c>
      <c r="H32" s="169">
        <v>16</v>
      </c>
      <c r="I32" s="169">
        <v>6</v>
      </c>
      <c r="J32" s="169">
        <v>2</v>
      </c>
      <c r="K32" s="169">
        <v>0</v>
      </c>
      <c r="L32" s="169">
        <v>0</v>
      </c>
      <c r="M32" s="169">
        <v>0</v>
      </c>
      <c r="N32" s="169">
        <v>0</v>
      </c>
      <c r="O32" s="169">
        <v>0</v>
      </c>
      <c r="P32" s="169">
        <v>0</v>
      </c>
      <c r="Q32" s="169">
        <v>752</v>
      </c>
      <c r="R32" s="170">
        <f t="shared" si="0"/>
        <v>1.4654255319148937</v>
      </c>
    </row>
    <row r="33" spans="1:18" hidden="1">
      <c r="A33" s="169" t="s">
        <v>651</v>
      </c>
      <c r="B33" s="169" t="s">
        <v>652</v>
      </c>
      <c r="C33" s="169" t="s">
        <v>679</v>
      </c>
      <c r="D33" s="169">
        <v>6</v>
      </c>
      <c r="E33" s="169">
        <v>29</v>
      </c>
      <c r="F33" s="169">
        <v>23</v>
      </c>
      <c r="G33" s="169">
        <v>13</v>
      </c>
      <c r="H33" s="169">
        <v>9</v>
      </c>
      <c r="I33" s="169">
        <v>0</v>
      </c>
      <c r="J33" s="169">
        <v>1</v>
      </c>
      <c r="K33" s="169">
        <v>0</v>
      </c>
      <c r="L33" s="169">
        <v>0</v>
      </c>
      <c r="M33" s="169">
        <v>0</v>
      </c>
      <c r="N33" s="169">
        <v>0</v>
      </c>
      <c r="O33" s="169">
        <v>0</v>
      </c>
      <c r="P33" s="169">
        <v>0</v>
      </c>
      <c r="Q33" s="169">
        <v>81</v>
      </c>
      <c r="R33" s="170">
        <f t="shared" si="0"/>
        <v>1.9259259259259258</v>
      </c>
    </row>
    <row r="34" spans="1:18" hidden="1">
      <c r="A34" s="169" t="s">
        <v>651</v>
      </c>
      <c r="B34" s="169" t="s">
        <v>652</v>
      </c>
      <c r="C34" s="169" t="s">
        <v>680</v>
      </c>
      <c r="D34" s="169">
        <v>32</v>
      </c>
      <c r="E34" s="169">
        <v>95</v>
      </c>
      <c r="F34" s="169">
        <v>75</v>
      </c>
      <c r="G34" s="169">
        <v>31</v>
      </c>
      <c r="H34" s="169">
        <v>20</v>
      </c>
      <c r="I34" s="169">
        <v>2</v>
      </c>
      <c r="J34" s="169">
        <v>0</v>
      </c>
      <c r="K34" s="169">
        <v>0</v>
      </c>
      <c r="L34" s="169">
        <v>0</v>
      </c>
      <c r="M34" s="169">
        <v>0</v>
      </c>
      <c r="N34" s="169">
        <v>0</v>
      </c>
      <c r="O34" s="169">
        <v>0</v>
      </c>
      <c r="P34" s="169">
        <v>0</v>
      </c>
      <c r="Q34" s="169">
        <v>255</v>
      </c>
      <c r="R34" s="170">
        <f t="shared" si="0"/>
        <v>1.6784313725490196</v>
      </c>
    </row>
    <row r="35" spans="1:18" hidden="1">
      <c r="A35" s="169" t="s">
        <v>651</v>
      </c>
      <c r="B35" s="169" t="s">
        <v>652</v>
      </c>
      <c r="C35" s="169" t="s">
        <v>681</v>
      </c>
      <c r="D35" s="169">
        <v>11</v>
      </c>
      <c r="E35" s="169">
        <v>18</v>
      </c>
      <c r="F35" s="169">
        <v>24</v>
      </c>
      <c r="G35" s="169">
        <v>2</v>
      </c>
      <c r="H35" s="169">
        <v>6</v>
      </c>
      <c r="I35" s="169">
        <v>2</v>
      </c>
      <c r="J35" s="169">
        <v>0</v>
      </c>
      <c r="K35" s="169">
        <v>0</v>
      </c>
      <c r="L35" s="169">
        <v>0</v>
      </c>
      <c r="M35" s="169">
        <v>0</v>
      </c>
      <c r="N35" s="169">
        <v>0</v>
      </c>
      <c r="O35" s="169">
        <v>0</v>
      </c>
      <c r="P35" s="169">
        <v>0</v>
      </c>
      <c r="Q35" s="169">
        <v>63</v>
      </c>
      <c r="R35" s="170">
        <f t="shared" si="0"/>
        <v>1.6825396825396826</v>
      </c>
    </row>
    <row r="36" spans="1:18" hidden="1">
      <c r="A36" s="169" t="s">
        <v>651</v>
      </c>
      <c r="B36" s="169" t="s">
        <v>652</v>
      </c>
      <c r="C36" s="169" t="s">
        <v>682</v>
      </c>
      <c r="D36" s="169">
        <v>107</v>
      </c>
      <c r="E36" s="169">
        <v>166</v>
      </c>
      <c r="F36" s="169">
        <v>130</v>
      </c>
      <c r="G36" s="169">
        <v>77</v>
      </c>
      <c r="H36" s="169">
        <v>56</v>
      </c>
      <c r="I36" s="169">
        <v>3</v>
      </c>
      <c r="J36" s="169">
        <v>0</v>
      </c>
      <c r="K36" s="169">
        <v>0</v>
      </c>
      <c r="L36" s="169">
        <v>0</v>
      </c>
      <c r="M36" s="169">
        <v>0</v>
      </c>
      <c r="N36" s="169">
        <v>0</v>
      </c>
      <c r="O36" s="169">
        <v>0</v>
      </c>
      <c r="P36" s="169">
        <v>0</v>
      </c>
      <c r="Q36" s="169">
        <v>538</v>
      </c>
      <c r="R36" s="170">
        <f t="shared" si="0"/>
        <v>1.6654275092936803</v>
      </c>
    </row>
    <row r="37" spans="1:18" hidden="1">
      <c r="A37" s="169" t="s">
        <v>651</v>
      </c>
      <c r="B37" s="169" t="s">
        <v>652</v>
      </c>
      <c r="C37" s="169" t="s">
        <v>683</v>
      </c>
      <c r="D37" s="169">
        <v>21</v>
      </c>
      <c r="E37" s="169">
        <v>91</v>
      </c>
      <c r="F37" s="169">
        <v>50</v>
      </c>
      <c r="G37" s="169">
        <v>30</v>
      </c>
      <c r="H37" s="169">
        <v>19</v>
      </c>
      <c r="I37" s="169">
        <v>0</v>
      </c>
      <c r="J37" s="169">
        <v>0</v>
      </c>
      <c r="K37" s="169">
        <v>0</v>
      </c>
      <c r="L37" s="169">
        <v>3</v>
      </c>
      <c r="M37" s="169">
        <v>0</v>
      </c>
      <c r="N37" s="169">
        <v>0</v>
      </c>
      <c r="O37" s="169">
        <v>0</v>
      </c>
      <c r="P37" s="169">
        <v>0</v>
      </c>
      <c r="Q37" s="169">
        <v>214</v>
      </c>
      <c r="R37" s="170">
        <f t="shared" si="0"/>
        <v>1.780373831775701</v>
      </c>
    </row>
    <row r="38" spans="1:18" hidden="1">
      <c r="A38" s="169" t="s">
        <v>651</v>
      </c>
      <c r="B38" s="169" t="s">
        <v>652</v>
      </c>
      <c r="C38" s="169" t="s">
        <v>684</v>
      </c>
      <c r="D38" s="169">
        <v>5</v>
      </c>
      <c r="E38" s="169">
        <v>68</v>
      </c>
      <c r="F38" s="169">
        <v>60</v>
      </c>
      <c r="G38" s="169">
        <v>32</v>
      </c>
      <c r="H38" s="169">
        <v>4</v>
      </c>
      <c r="I38" s="169">
        <v>10</v>
      </c>
      <c r="J38" s="169">
        <v>0</v>
      </c>
      <c r="K38" s="169">
        <v>0</v>
      </c>
      <c r="L38" s="169">
        <v>0</v>
      </c>
      <c r="M38" s="169">
        <v>0</v>
      </c>
      <c r="N38" s="169">
        <v>0</v>
      </c>
      <c r="O38" s="169">
        <v>0</v>
      </c>
      <c r="P38" s="169">
        <v>0</v>
      </c>
      <c r="Q38" s="169">
        <v>179</v>
      </c>
      <c r="R38" s="170">
        <f t="shared" si="0"/>
        <v>1.9553072625698324</v>
      </c>
    </row>
    <row r="39" spans="1:18" hidden="1">
      <c r="A39" s="169" t="s">
        <v>651</v>
      </c>
      <c r="B39" s="169" t="s">
        <v>652</v>
      </c>
      <c r="C39" s="169" t="s">
        <v>685</v>
      </c>
      <c r="D39" s="169">
        <v>179</v>
      </c>
      <c r="E39" s="169">
        <v>315</v>
      </c>
      <c r="F39" s="169">
        <v>221</v>
      </c>
      <c r="G39" s="169">
        <v>85</v>
      </c>
      <c r="H39" s="169">
        <v>28</v>
      </c>
      <c r="I39" s="169">
        <v>6</v>
      </c>
      <c r="J39" s="169">
        <v>10</v>
      </c>
      <c r="K39" s="169">
        <v>0</v>
      </c>
      <c r="L39" s="169">
        <v>0</v>
      </c>
      <c r="M39" s="169">
        <v>0</v>
      </c>
      <c r="N39" s="169">
        <v>0</v>
      </c>
      <c r="O39" s="169">
        <v>0</v>
      </c>
      <c r="P39" s="169">
        <v>0</v>
      </c>
      <c r="Q39" s="169">
        <v>845</v>
      </c>
      <c r="R39" s="170">
        <f t="shared" si="0"/>
        <v>1.4366863905325444</v>
      </c>
    </row>
    <row r="40" spans="1:18" hidden="1">
      <c r="A40" s="169" t="s">
        <v>651</v>
      </c>
      <c r="B40" s="169" t="s">
        <v>652</v>
      </c>
      <c r="C40" s="169" t="s">
        <v>686</v>
      </c>
      <c r="D40" s="169">
        <v>103</v>
      </c>
      <c r="E40" s="169">
        <v>281</v>
      </c>
      <c r="F40" s="169">
        <v>200</v>
      </c>
      <c r="G40" s="169">
        <v>45</v>
      </c>
      <c r="H40" s="169">
        <v>16</v>
      </c>
      <c r="I40" s="169">
        <v>4</v>
      </c>
      <c r="J40" s="169">
        <v>4</v>
      </c>
      <c r="K40" s="169">
        <v>13</v>
      </c>
      <c r="L40" s="169">
        <v>0</v>
      </c>
      <c r="M40" s="169">
        <v>0</v>
      </c>
      <c r="N40" s="169">
        <v>0</v>
      </c>
      <c r="O40" s="169">
        <v>0</v>
      </c>
      <c r="P40" s="169">
        <v>0</v>
      </c>
      <c r="Q40" s="169">
        <v>666</v>
      </c>
      <c r="R40" s="170">
        <f t="shared" si="0"/>
        <v>1.5240240240240239</v>
      </c>
    </row>
    <row r="41" spans="1:18" hidden="1">
      <c r="A41" s="169" t="s">
        <v>651</v>
      </c>
      <c r="B41" s="169" t="s">
        <v>652</v>
      </c>
      <c r="C41" s="169" t="s">
        <v>687</v>
      </c>
      <c r="D41" s="169">
        <v>31</v>
      </c>
      <c r="E41" s="169">
        <v>193</v>
      </c>
      <c r="F41" s="169">
        <v>179</v>
      </c>
      <c r="G41" s="169">
        <v>69</v>
      </c>
      <c r="H41" s="169">
        <v>9</v>
      </c>
      <c r="I41" s="169">
        <v>1</v>
      </c>
      <c r="J41" s="169">
        <v>0</v>
      </c>
      <c r="K41" s="169">
        <v>3</v>
      </c>
      <c r="L41" s="169">
        <v>0</v>
      </c>
      <c r="M41" s="169">
        <v>0</v>
      </c>
      <c r="N41" s="169">
        <v>0</v>
      </c>
      <c r="O41" s="169">
        <v>0</v>
      </c>
      <c r="P41" s="169">
        <v>0</v>
      </c>
      <c r="Q41" s="169">
        <v>485</v>
      </c>
      <c r="R41" s="170">
        <f t="shared" si="0"/>
        <v>1.6907216494845361</v>
      </c>
    </row>
    <row r="42" spans="1:18" hidden="1">
      <c r="A42" s="169" t="s">
        <v>651</v>
      </c>
      <c r="B42" s="169" t="s">
        <v>652</v>
      </c>
      <c r="C42" s="169" t="s">
        <v>688</v>
      </c>
      <c r="D42" s="169">
        <v>9</v>
      </c>
      <c r="E42" s="169">
        <v>118</v>
      </c>
      <c r="F42" s="169">
        <v>136</v>
      </c>
      <c r="G42" s="169">
        <v>47</v>
      </c>
      <c r="H42" s="169">
        <v>31</v>
      </c>
      <c r="I42" s="169">
        <v>10</v>
      </c>
      <c r="J42" s="169">
        <v>8</v>
      </c>
      <c r="K42" s="169">
        <v>0</v>
      </c>
      <c r="L42" s="169">
        <v>0</v>
      </c>
      <c r="M42" s="169">
        <v>0</v>
      </c>
      <c r="N42" s="169">
        <v>0</v>
      </c>
      <c r="O42" s="169">
        <v>0</v>
      </c>
      <c r="P42" s="169">
        <v>0</v>
      </c>
      <c r="Q42" s="169">
        <v>360</v>
      </c>
      <c r="R42" s="170">
        <f t="shared" si="0"/>
        <v>2.0916666666666668</v>
      </c>
    </row>
    <row r="43" spans="1:18" hidden="1">
      <c r="A43" s="169" t="s">
        <v>651</v>
      </c>
      <c r="B43" s="169" t="s">
        <v>652</v>
      </c>
      <c r="C43" s="169" t="s">
        <v>689</v>
      </c>
      <c r="D43" s="169">
        <v>150</v>
      </c>
      <c r="E43" s="169">
        <v>326</v>
      </c>
      <c r="F43" s="169">
        <v>179</v>
      </c>
      <c r="G43" s="169">
        <v>36</v>
      </c>
      <c r="H43" s="169">
        <v>23</v>
      </c>
      <c r="I43" s="169">
        <v>7</v>
      </c>
      <c r="J43" s="169">
        <v>0</v>
      </c>
      <c r="K43" s="169">
        <v>0</v>
      </c>
      <c r="L43" s="169">
        <v>0</v>
      </c>
      <c r="M43" s="169">
        <v>0</v>
      </c>
      <c r="N43" s="169">
        <v>0</v>
      </c>
      <c r="O43" s="169">
        <v>0</v>
      </c>
      <c r="P43" s="169">
        <v>0</v>
      </c>
      <c r="Q43" s="169">
        <v>722</v>
      </c>
      <c r="R43" s="170">
        <f t="shared" si="0"/>
        <v>1.2728531855955678</v>
      </c>
    </row>
    <row r="44" spans="1:18" hidden="1">
      <c r="A44" s="169" t="s">
        <v>651</v>
      </c>
      <c r="B44" s="169" t="s">
        <v>652</v>
      </c>
      <c r="C44" s="169" t="s">
        <v>690</v>
      </c>
      <c r="D44" s="169">
        <v>2</v>
      </c>
      <c r="E44" s="169">
        <v>29</v>
      </c>
      <c r="F44" s="169">
        <v>18</v>
      </c>
      <c r="G44" s="169">
        <v>2</v>
      </c>
      <c r="H44" s="169">
        <v>0</v>
      </c>
      <c r="I44" s="169">
        <v>0</v>
      </c>
      <c r="J44" s="169">
        <v>0</v>
      </c>
      <c r="K44" s="169">
        <v>0</v>
      </c>
      <c r="L44" s="169">
        <v>0</v>
      </c>
      <c r="M44" s="169">
        <v>0</v>
      </c>
      <c r="N44" s="169">
        <v>0</v>
      </c>
      <c r="O44" s="169">
        <v>0</v>
      </c>
      <c r="P44" s="169">
        <v>0</v>
      </c>
      <c r="Q44" s="169">
        <v>51</v>
      </c>
      <c r="R44" s="170">
        <f t="shared" si="0"/>
        <v>1.392156862745098</v>
      </c>
    </row>
    <row r="45" spans="1:18" hidden="1">
      <c r="A45" s="169" t="s">
        <v>651</v>
      </c>
      <c r="B45" s="169" t="s">
        <v>652</v>
      </c>
      <c r="C45" s="169" t="s">
        <v>691</v>
      </c>
      <c r="D45" s="169">
        <v>40</v>
      </c>
      <c r="E45" s="169">
        <v>120</v>
      </c>
      <c r="F45" s="169">
        <v>87</v>
      </c>
      <c r="G45" s="169">
        <v>26</v>
      </c>
      <c r="H45" s="169">
        <v>9</v>
      </c>
      <c r="I45" s="169">
        <v>6</v>
      </c>
      <c r="J45" s="169">
        <v>1</v>
      </c>
      <c r="K45" s="169">
        <v>0</v>
      </c>
      <c r="L45" s="169">
        <v>0</v>
      </c>
      <c r="M45" s="169">
        <v>0</v>
      </c>
      <c r="N45" s="169">
        <v>0</v>
      </c>
      <c r="O45" s="169">
        <v>0</v>
      </c>
      <c r="P45" s="169">
        <v>0</v>
      </c>
      <c r="Q45" s="169">
        <v>289</v>
      </c>
      <c r="R45" s="170">
        <f t="shared" si="0"/>
        <v>1.5363321799307958</v>
      </c>
    </row>
    <row r="46" spans="1:18" hidden="1">
      <c r="A46" s="169" t="s">
        <v>651</v>
      </c>
      <c r="B46" s="169" t="s">
        <v>652</v>
      </c>
      <c r="C46" s="169" t="s">
        <v>692</v>
      </c>
      <c r="D46" s="169">
        <v>3</v>
      </c>
      <c r="E46" s="169">
        <v>21</v>
      </c>
      <c r="F46" s="169">
        <v>8</v>
      </c>
      <c r="G46" s="169">
        <v>10</v>
      </c>
      <c r="H46" s="169">
        <v>5</v>
      </c>
      <c r="I46" s="169">
        <v>1</v>
      </c>
      <c r="J46" s="169">
        <v>0</v>
      </c>
      <c r="K46" s="169">
        <v>0</v>
      </c>
      <c r="L46" s="169">
        <v>0</v>
      </c>
      <c r="M46" s="169">
        <v>0</v>
      </c>
      <c r="N46" s="169">
        <v>0</v>
      </c>
      <c r="O46" s="169">
        <v>0</v>
      </c>
      <c r="P46" s="169">
        <v>0</v>
      </c>
      <c r="Q46" s="169">
        <v>48</v>
      </c>
      <c r="R46" s="170">
        <f t="shared" si="0"/>
        <v>1.9166666666666667</v>
      </c>
    </row>
    <row r="47" spans="1:18" hidden="1">
      <c r="A47" s="169" t="s">
        <v>651</v>
      </c>
      <c r="B47" s="169" t="s">
        <v>652</v>
      </c>
      <c r="C47" s="169" t="s">
        <v>693</v>
      </c>
      <c r="D47" s="169">
        <v>69</v>
      </c>
      <c r="E47" s="169">
        <v>276</v>
      </c>
      <c r="F47" s="169">
        <v>211</v>
      </c>
      <c r="G47" s="169">
        <v>36</v>
      </c>
      <c r="H47" s="169">
        <v>31</v>
      </c>
      <c r="I47" s="169">
        <v>0</v>
      </c>
      <c r="J47" s="169">
        <v>4</v>
      </c>
      <c r="K47" s="169">
        <v>0</v>
      </c>
      <c r="L47" s="169">
        <v>0</v>
      </c>
      <c r="M47" s="169">
        <v>0</v>
      </c>
      <c r="N47" s="169">
        <v>0</v>
      </c>
      <c r="O47" s="169">
        <v>0</v>
      </c>
      <c r="P47" s="169">
        <v>0</v>
      </c>
      <c r="Q47" s="169">
        <v>628</v>
      </c>
      <c r="R47" s="170">
        <f t="shared" si="0"/>
        <v>1.5191082802547771</v>
      </c>
    </row>
    <row r="48" spans="1:18" hidden="1">
      <c r="A48" s="169" t="s">
        <v>651</v>
      </c>
      <c r="B48" s="169" t="s">
        <v>652</v>
      </c>
      <c r="C48" s="169" t="s">
        <v>694</v>
      </c>
      <c r="D48" s="169">
        <v>153</v>
      </c>
      <c r="E48" s="169">
        <v>916</v>
      </c>
      <c r="F48" s="169">
        <v>837</v>
      </c>
      <c r="G48" s="169">
        <v>345</v>
      </c>
      <c r="H48" s="169">
        <v>125</v>
      </c>
      <c r="I48" s="169">
        <v>40</v>
      </c>
      <c r="J48" s="169">
        <v>7</v>
      </c>
      <c r="K48" s="169">
        <v>2</v>
      </c>
      <c r="L48" s="169">
        <v>0</v>
      </c>
      <c r="M48" s="169">
        <v>1</v>
      </c>
      <c r="N48" s="169">
        <v>0</v>
      </c>
      <c r="O48" s="169">
        <v>0</v>
      </c>
      <c r="P48" s="169">
        <v>0</v>
      </c>
      <c r="Q48" s="169">
        <v>2426</v>
      </c>
      <c r="R48" s="170">
        <f t="shared" si="0"/>
        <v>1.809563066776587</v>
      </c>
    </row>
    <row r="49" spans="1:18" hidden="1">
      <c r="A49" s="169" t="s">
        <v>651</v>
      </c>
      <c r="B49" s="169" t="s">
        <v>652</v>
      </c>
      <c r="C49" s="169" t="s">
        <v>695</v>
      </c>
      <c r="D49" s="169">
        <v>3</v>
      </c>
      <c r="E49" s="169">
        <v>43</v>
      </c>
      <c r="F49" s="169">
        <v>65</v>
      </c>
      <c r="G49" s="169">
        <v>27</v>
      </c>
      <c r="H49" s="169">
        <v>13</v>
      </c>
      <c r="I49" s="169">
        <v>23</v>
      </c>
      <c r="J49" s="169">
        <v>2</v>
      </c>
      <c r="K49" s="169">
        <v>6</v>
      </c>
      <c r="L49" s="169">
        <v>0</v>
      </c>
      <c r="M49" s="169">
        <v>0</v>
      </c>
      <c r="N49" s="169">
        <v>0</v>
      </c>
      <c r="O49" s="169">
        <v>0</v>
      </c>
      <c r="P49" s="169">
        <v>0</v>
      </c>
      <c r="Q49" s="169">
        <v>182</v>
      </c>
      <c r="R49" s="170">
        <f t="shared" si="0"/>
        <v>2.6098901098901099</v>
      </c>
    </row>
    <row r="50" spans="1:18" hidden="1">
      <c r="A50" s="169" t="s">
        <v>651</v>
      </c>
      <c r="B50" s="169" t="s">
        <v>652</v>
      </c>
      <c r="C50" s="169" t="s">
        <v>696</v>
      </c>
      <c r="D50" s="169">
        <v>69</v>
      </c>
      <c r="E50" s="169">
        <v>317</v>
      </c>
      <c r="F50" s="169">
        <v>338</v>
      </c>
      <c r="G50" s="169">
        <v>62</v>
      </c>
      <c r="H50" s="169">
        <v>32</v>
      </c>
      <c r="I50" s="169">
        <v>17</v>
      </c>
      <c r="J50" s="169">
        <v>7</v>
      </c>
      <c r="K50" s="169">
        <v>0</v>
      </c>
      <c r="L50" s="169">
        <v>0</v>
      </c>
      <c r="M50" s="169">
        <v>0</v>
      </c>
      <c r="N50" s="169">
        <v>0</v>
      </c>
      <c r="O50" s="169">
        <v>0</v>
      </c>
      <c r="P50" s="169">
        <v>0</v>
      </c>
      <c r="Q50" s="169">
        <v>842</v>
      </c>
      <c r="R50" s="170">
        <f t="shared" si="0"/>
        <v>1.7030878859857481</v>
      </c>
    </row>
    <row r="51" spans="1:18" hidden="1">
      <c r="A51" s="169" t="s">
        <v>651</v>
      </c>
      <c r="B51" s="169" t="s">
        <v>652</v>
      </c>
      <c r="C51" s="169" t="s">
        <v>697</v>
      </c>
      <c r="D51" s="169">
        <v>4</v>
      </c>
      <c r="E51" s="169">
        <v>16</v>
      </c>
      <c r="F51" s="169">
        <v>7</v>
      </c>
      <c r="G51" s="169">
        <v>1</v>
      </c>
      <c r="H51" s="169">
        <v>2</v>
      </c>
      <c r="I51" s="169">
        <v>0</v>
      </c>
      <c r="J51" s="169">
        <v>0</v>
      </c>
      <c r="K51" s="169">
        <v>0</v>
      </c>
      <c r="L51" s="169">
        <v>0</v>
      </c>
      <c r="M51" s="169">
        <v>0</v>
      </c>
      <c r="N51" s="169">
        <v>0</v>
      </c>
      <c r="O51" s="169">
        <v>0</v>
      </c>
      <c r="P51" s="169">
        <v>0</v>
      </c>
      <c r="Q51" s="169">
        <v>31</v>
      </c>
      <c r="R51" s="170">
        <f t="shared" si="0"/>
        <v>1.3225806451612903</v>
      </c>
    </row>
    <row r="52" spans="1:18" hidden="1">
      <c r="A52" s="169" t="s">
        <v>651</v>
      </c>
      <c r="B52" s="169" t="s">
        <v>652</v>
      </c>
      <c r="C52" s="169" t="s">
        <v>698</v>
      </c>
      <c r="D52" s="169">
        <v>82</v>
      </c>
      <c r="E52" s="169">
        <v>250</v>
      </c>
      <c r="F52" s="169">
        <v>178</v>
      </c>
      <c r="G52" s="169">
        <v>105</v>
      </c>
      <c r="H52" s="169">
        <v>51</v>
      </c>
      <c r="I52" s="169">
        <v>28</v>
      </c>
      <c r="J52" s="169">
        <v>1</v>
      </c>
      <c r="K52" s="169">
        <v>0</v>
      </c>
      <c r="L52" s="169">
        <v>0</v>
      </c>
      <c r="M52" s="169">
        <v>0</v>
      </c>
      <c r="N52" s="169">
        <v>0</v>
      </c>
      <c r="O52" s="169">
        <v>0</v>
      </c>
      <c r="P52" s="169">
        <v>0</v>
      </c>
      <c r="Q52" s="169">
        <v>695</v>
      </c>
      <c r="R52" s="170">
        <f t="shared" si="0"/>
        <v>1.8287769784172663</v>
      </c>
    </row>
    <row r="53" spans="1:18" hidden="1">
      <c r="A53" s="169" t="s">
        <v>651</v>
      </c>
      <c r="B53" s="169" t="s">
        <v>652</v>
      </c>
      <c r="C53" s="169" t="s">
        <v>699</v>
      </c>
      <c r="D53" s="169">
        <v>54</v>
      </c>
      <c r="E53" s="169">
        <v>153</v>
      </c>
      <c r="F53" s="169">
        <v>133</v>
      </c>
      <c r="G53" s="169">
        <v>55</v>
      </c>
      <c r="H53" s="169">
        <v>17</v>
      </c>
      <c r="I53" s="169">
        <v>6</v>
      </c>
      <c r="J53" s="169">
        <v>3</v>
      </c>
      <c r="K53" s="169">
        <v>1</v>
      </c>
      <c r="L53" s="169">
        <v>0</v>
      </c>
      <c r="M53" s="169">
        <v>0</v>
      </c>
      <c r="N53" s="169">
        <v>0</v>
      </c>
      <c r="O53" s="169">
        <v>0</v>
      </c>
      <c r="P53" s="169">
        <v>0</v>
      </c>
      <c r="Q53" s="169">
        <v>421</v>
      </c>
      <c r="R53" s="170">
        <f t="shared" si="0"/>
        <v>1.6793349168646081</v>
      </c>
    </row>
    <row r="54" spans="1:18" hidden="1">
      <c r="A54" s="169" t="s">
        <v>651</v>
      </c>
      <c r="B54" s="169" t="s">
        <v>652</v>
      </c>
      <c r="C54" s="169" t="s">
        <v>700</v>
      </c>
      <c r="D54" s="169">
        <v>13</v>
      </c>
      <c r="E54" s="169">
        <v>56</v>
      </c>
      <c r="F54" s="169">
        <v>52</v>
      </c>
      <c r="G54" s="169">
        <v>6</v>
      </c>
      <c r="H54" s="169">
        <v>2</v>
      </c>
      <c r="I54" s="169">
        <v>0</v>
      </c>
      <c r="J54" s="169">
        <v>0</v>
      </c>
      <c r="K54" s="169">
        <v>0</v>
      </c>
      <c r="L54" s="169">
        <v>0</v>
      </c>
      <c r="M54" s="169">
        <v>0</v>
      </c>
      <c r="N54" s="169">
        <v>0</v>
      </c>
      <c r="O54" s="169">
        <v>0</v>
      </c>
      <c r="P54" s="169">
        <v>0</v>
      </c>
      <c r="Q54" s="169">
        <v>129</v>
      </c>
      <c r="R54" s="170">
        <f t="shared" si="0"/>
        <v>1.441860465116279</v>
      </c>
    </row>
    <row r="55" spans="1:18" hidden="1">
      <c r="A55" s="169" t="s">
        <v>651</v>
      </c>
      <c r="B55" s="169" t="s">
        <v>652</v>
      </c>
      <c r="C55" s="169" t="s">
        <v>701</v>
      </c>
      <c r="D55" s="169">
        <v>8</v>
      </c>
      <c r="E55" s="169">
        <v>12</v>
      </c>
      <c r="F55" s="169">
        <v>22</v>
      </c>
      <c r="G55" s="169">
        <v>7</v>
      </c>
      <c r="H55" s="169">
        <v>4</v>
      </c>
      <c r="I55" s="169">
        <v>0</v>
      </c>
      <c r="J55" s="169">
        <v>0</v>
      </c>
      <c r="K55" s="169">
        <v>0</v>
      </c>
      <c r="L55" s="169">
        <v>1</v>
      </c>
      <c r="M55" s="169">
        <v>0</v>
      </c>
      <c r="N55" s="169">
        <v>0</v>
      </c>
      <c r="O55" s="169">
        <v>0</v>
      </c>
      <c r="P55" s="169">
        <v>0</v>
      </c>
      <c r="Q55" s="169">
        <v>53</v>
      </c>
      <c r="R55" s="170">
        <f t="shared" si="0"/>
        <v>1.9056603773584906</v>
      </c>
    </row>
    <row r="56" spans="1:18" hidden="1">
      <c r="A56" s="169" t="s">
        <v>651</v>
      </c>
      <c r="B56" s="169" t="s">
        <v>652</v>
      </c>
      <c r="C56" s="169" t="s">
        <v>649</v>
      </c>
      <c r="D56" s="169">
        <v>2516</v>
      </c>
      <c r="E56" s="169">
        <v>9450</v>
      </c>
      <c r="F56" s="169">
        <v>7886</v>
      </c>
      <c r="G56" s="169">
        <v>2729</v>
      </c>
      <c r="H56" s="169">
        <v>1054</v>
      </c>
      <c r="I56" s="169">
        <v>377</v>
      </c>
      <c r="J56" s="169">
        <v>77</v>
      </c>
      <c r="K56" s="169">
        <v>45</v>
      </c>
      <c r="L56" s="169">
        <v>13</v>
      </c>
      <c r="M56" s="169">
        <v>4</v>
      </c>
      <c r="N56" s="169">
        <v>6</v>
      </c>
      <c r="O56" s="169">
        <v>1</v>
      </c>
      <c r="P56" s="169">
        <v>3</v>
      </c>
      <c r="Q56" s="169">
        <v>24161</v>
      </c>
      <c r="R56" s="170">
        <f t="shared" si="0"/>
        <v>1.6776623484127313</v>
      </c>
    </row>
    <row r="57" spans="1:18" hidden="1">
      <c r="A57" s="169" t="s">
        <v>651</v>
      </c>
      <c r="B57" s="169" t="s">
        <v>702</v>
      </c>
      <c r="C57" s="169" t="s">
        <v>653</v>
      </c>
      <c r="D57" s="169">
        <v>5</v>
      </c>
      <c r="E57" s="169">
        <v>15</v>
      </c>
      <c r="F57" s="169">
        <v>9</v>
      </c>
      <c r="G57" s="169">
        <v>16</v>
      </c>
      <c r="H57" s="169">
        <v>3</v>
      </c>
      <c r="I57" s="169">
        <v>1</v>
      </c>
      <c r="J57" s="169">
        <v>1</v>
      </c>
      <c r="K57" s="169">
        <v>0</v>
      </c>
      <c r="L57" s="169">
        <v>1</v>
      </c>
      <c r="M57" s="169">
        <v>0</v>
      </c>
      <c r="N57" s="169">
        <v>0</v>
      </c>
      <c r="O57" s="169">
        <v>0</v>
      </c>
      <c r="P57" s="169">
        <v>0</v>
      </c>
      <c r="Q57" s="169">
        <v>52</v>
      </c>
      <c r="R57" s="170">
        <f t="shared" si="0"/>
        <v>2.1538461538461537</v>
      </c>
    </row>
    <row r="58" spans="1:18" hidden="1">
      <c r="A58" s="169" t="s">
        <v>651</v>
      </c>
      <c r="B58" s="169" t="s">
        <v>702</v>
      </c>
      <c r="C58" s="169" t="s">
        <v>654</v>
      </c>
      <c r="D58" s="169">
        <v>46</v>
      </c>
      <c r="E58" s="169">
        <v>208</v>
      </c>
      <c r="F58" s="169">
        <v>191</v>
      </c>
      <c r="G58" s="169">
        <v>208</v>
      </c>
      <c r="H58" s="169">
        <v>41</v>
      </c>
      <c r="I58" s="169">
        <v>28</v>
      </c>
      <c r="J58" s="169">
        <v>2</v>
      </c>
      <c r="K58" s="169">
        <v>15</v>
      </c>
      <c r="L58" s="169">
        <v>0</v>
      </c>
      <c r="M58" s="169">
        <v>0</v>
      </c>
      <c r="N58" s="169">
        <v>0</v>
      </c>
      <c r="O58" s="169">
        <v>0</v>
      </c>
      <c r="P58" s="169">
        <v>0</v>
      </c>
      <c r="Q58" s="169">
        <v>739</v>
      </c>
      <c r="R58" s="170">
        <f t="shared" si="0"/>
        <v>2.2124492557510149</v>
      </c>
    </row>
    <row r="59" spans="1:18" hidden="1">
      <c r="A59" s="169" t="s">
        <v>651</v>
      </c>
      <c r="B59" s="169" t="s">
        <v>702</v>
      </c>
      <c r="C59" s="169" t="s">
        <v>655</v>
      </c>
      <c r="D59" s="169">
        <v>27</v>
      </c>
      <c r="E59" s="169">
        <v>124</v>
      </c>
      <c r="F59" s="169">
        <v>180</v>
      </c>
      <c r="G59" s="169">
        <v>53</v>
      </c>
      <c r="H59" s="169">
        <v>118</v>
      </c>
      <c r="I59" s="169">
        <v>3</v>
      </c>
      <c r="J59" s="169">
        <v>16</v>
      </c>
      <c r="K59" s="169">
        <v>0</v>
      </c>
      <c r="L59" s="169">
        <v>0</v>
      </c>
      <c r="M59" s="169">
        <v>0</v>
      </c>
      <c r="N59" s="169">
        <v>0</v>
      </c>
      <c r="O59" s="169">
        <v>0</v>
      </c>
      <c r="P59" s="169">
        <v>0</v>
      </c>
      <c r="Q59" s="169">
        <v>522</v>
      </c>
      <c r="R59" s="170">
        <f t="shared" si="0"/>
        <v>2.3486590038314175</v>
      </c>
    </row>
    <row r="60" spans="1:18" hidden="1">
      <c r="A60" s="169" t="s">
        <v>651</v>
      </c>
      <c r="B60" s="169" t="s">
        <v>702</v>
      </c>
      <c r="C60" s="169" t="s">
        <v>656</v>
      </c>
      <c r="D60" s="169">
        <v>10</v>
      </c>
      <c r="E60" s="169">
        <v>68</v>
      </c>
      <c r="F60" s="169">
        <v>81</v>
      </c>
      <c r="G60" s="169">
        <v>33</v>
      </c>
      <c r="H60" s="169">
        <v>18</v>
      </c>
      <c r="I60" s="169">
        <v>6</v>
      </c>
      <c r="J60" s="169">
        <v>2</v>
      </c>
      <c r="K60" s="169">
        <v>0</v>
      </c>
      <c r="L60" s="169">
        <v>1</v>
      </c>
      <c r="M60" s="169">
        <v>1</v>
      </c>
      <c r="N60" s="169">
        <v>0</v>
      </c>
      <c r="O60" s="169">
        <v>0</v>
      </c>
      <c r="P60" s="169">
        <v>1</v>
      </c>
      <c r="Q60" s="169">
        <v>221</v>
      </c>
      <c r="R60" s="170">
        <f t="shared" si="0"/>
        <v>2.1357466063348416</v>
      </c>
    </row>
    <row r="61" spans="1:18" hidden="1">
      <c r="A61" s="169" t="s">
        <v>651</v>
      </c>
      <c r="B61" s="169" t="s">
        <v>702</v>
      </c>
      <c r="C61" s="169" t="s">
        <v>288</v>
      </c>
      <c r="D61" s="169">
        <v>14</v>
      </c>
      <c r="E61" s="169">
        <v>116</v>
      </c>
      <c r="F61" s="169">
        <v>180</v>
      </c>
      <c r="G61" s="169">
        <v>122</v>
      </c>
      <c r="H61" s="169">
        <v>59</v>
      </c>
      <c r="I61" s="169">
        <v>23</v>
      </c>
      <c r="J61" s="169">
        <v>13</v>
      </c>
      <c r="K61" s="169">
        <v>7</v>
      </c>
      <c r="L61" s="169">
        <v>1</v>
      </c>
      <c r="M61" s="169">
        <v>1</v>
      </c>
      <c r="N61" s="169">
        <v>1</v>
      </c>
      <c r="O61" s="169">
        <v>0</v>
      </c>
      <c r="P61" s="169">
        <v>0</v>
      </c>
      <c r="Q61" s="169">
        <v>536</v>
      </c>
      <c r="R61" s="170">
        <f t="shared" si="0"/>
        <v>2.5130597014925371</v>
      </c>
    </row>
    <row r="62" spans="1:18" hidden="1">
      <c r="A62" s="169" t="s">
        <v>651</v>
      </c>
      <c r="B62" s="169" t="s">
        <v>702</v>
      </c>
      <c r="C62" s="169" t="s">
        <v>657</v>
      </c>
      <c r="D62" s="169">
        <v>8</v>
      </c>
      <c r="E62" s="169">
        <v>25</v>
      </c>
      <c r="F62" s="169">
        <v>82</v>
      </c>
      <c r="G62" s="169">
        <v>51</v>
      </c>
      <c r="H62" s="169">
        <v>33</v>
      </c>
      <c r="I62" s="169">
        <v>8</v>
      </c>
      <c r="J62" s="169">
        <v>8</v>
      </c>
      <c r="K62" s="169">
        <v>7</v>
      </c>
      <c r="L62" s="169">
        <v>0</v>
      </c>
      <c r="M62" s="169">
        <v>6</v>
      </c>
      <c r="N62" s="169">
        <v>0</v>
      </c>
      <c r="O62" s="169">
        <v>0</v>
      </c>
      <c r="P62" s="169">
        <v>0</v>
      </c>
      <c r="Q62" s="169">
        <v>226</v>
      </c>
      <c r="R62" s="170">
        <f t="shared" si="0"/>
        <v>2.9424778761061945</v>
      </c>
    </row>
    <row r="63" spans="1:18" hidden="1">
      <c r="A63" s="169" t="s">
        <v>651</v>
      </c>
      <c r="B63" s="169" t="s">
        <v>702</v>
      </c>
      <c r="C63" s="169" t="s">
        <v>658</v>
      </c>
      <c r="D63" s="169">
        <v>0</v>
      </c>
      <c r="E63" s="169">
        <v>22</v>
      </c>
      <c r="F63" s="169">
        <v>55</v>
      </c>
      <c r="G63" s="169">
        <v>39</v>
      </c>
      <c r="H63" s="169">
        <v>7</v>
      </c>
      <c r="I63" s="169">
        <v>7</v>
      </c>
      <c r="J63" s="169">
        <v>3</v>
      </c>
      <c r="K63" s="169">
        <v>0</v>
      </c>
      <c r="L63" s="169">
        <v>0</v>
      </c>
      <c r="M63" s="169">
        <v>0</v>
      </c>
      <c r="N63" s="169">
        <v>0</v>
      </c>
      <c r="O63" s="169">
        <v>0</v>
      </c>
      <c r="P63" s="169">
        <v>0</v>
      </c>
      <c r="Q63" s="169">
        <v>133</v>
      </c>
      <c r="R63" s="170">
        <f t="shared" si="0"/>
        <v>2.481203007518797</v>
      </c>
    </row>
    <row r="64" spans="1:18" hidden="1">
      <c r="A64" s="169" t="s">
        <v>651</v>
      </c>
      <c r="B64" s="169" t="s">
        <v>702</v>
      </c>
      <c r="C64" s="169" t="s">
        <v>659</v>
      </c>
      <c r="D64" s="169">
        <v>0</v>
      </c>
      <c r="E64" s="169">
        <v>24</v>
      </c>
      <c r="F64" s="169">
        <v>27</v>
      </c>
      <c r="G64" s="169">
        <v>12</v>
      </c>
      <c r="H64" s="169">
        <v>4</v>
      </c>
      <c r="I64" s="169">
        <v>1</v>
      </c>
      <c r="J64" s="169">
        <v>0</v>
      </c>
      <c r="K64" s="169">
        <v>0</v>
      </c>
      <c r="L64" s="169">
        <v>0</v>
      </c>
      <c r="M64" s="169">
        <v>0</v>
      </c>
      <c r="N64" s="169">
        <v>0</v>
      </c>
      <c r="O64" s="169">
        <v>0</v>
      </c>
      <c r="P64" s="169">
        <v>0</v>
      </c>
      <c r="Q64" s="169">
        <v>68</v>
      </c>
      <c r="R64" s="170">
        <f t="shared" si="0"/>
        <v>1.9852941176470589</v>
      </c>
    </row>
    <row r="65" spans="1:18" hidden="1">
      <c r="A65" s="169" t="s">
        <v>651</v>
      </c>
      <c r="B65" s="169" t="s">
        <v>702</v>
      </c>
      <c r="C65" s="169" t="s">
        <v>660</v>
      </c>
      <c r="D65" s="169">
        <v>27</v>
      </c>
      <c r="E65" s="169">
        <v>168</v>
      </c>
      <c r="F65" s="169">
        <v>204</v>
      </c>
      <c r="G65" s="169">
        <v>94</v>
      </c>
      <c r="H65" s="169">
        <v>24</v>
      </c>
      <c r="I65" s="169">
        <v>12</v>
      </c>
      <c r="J65" s="169">
        <v>0</v>
      </c>
      <c r="K65" s="169">
        <v>0</v>
      </c>
      <c r="L65" s="169">
        <v>2</v>
      </c>
      <c r="M65" s="169">
        <v>0</v>
      </c>
      <c r="N65" s="169">
        <v>0</v>
      </c>
      <c r="O65" s="169">
        <v>0</v>
      </c>
      <c r="P65" s="169">
        <v>0</v>
      </c>
      <c r="Q65" s="169">
        <v>531</v>
      </c>
      <c r="R65" s="170">
        <f t="shared" si="0"/>
        <v>1.9397363465160076</v>
      </c>
    </row>
    <row r="66" spans="1:18" hidden="1">
      <c r="A66" s="169" t="s">
        <v>651</v>
      </c>
      <c r="B66" s="169" t="s">
        <v>702</v>
      </c>
      <c r="C66" s="169" t="s">
        <v>661</v>
      </c>
      <c r="D66" s="169">
        <v>33</v>
      </c>
      <c r="E66" s="169">
        <v>219</v>
      </c>
      <c r="F66" s="169">
        <v>278</v>
      </c>
      <c r="G66" s="169">
        <v>160</v>
      </c>
      <c r="H66" s="169">
        <v>71</v>
      </c>
      <c r="I66" s="169">
        <v>27</v>
      </c>
      <c r="J66" s="169">
        <v>18</v>
      </c>
      <c r="K66" s="169">
        <v>2</v>
      </c>
      <c r="L66" s="169">
        <v>3</v>
      </c>
      <c r="M66" s="169">
        <v>0</v>
      </c>
      <c r="N66" s="169">
        <v>1</v>
      </c>
      <c r="O66" s="169">
        <v>0</v>
      </c>
      <c r="P66" s="169">
        <v>0</v>
      </c>
      <c r="Q66" s="169">
        <v>813</v>
      </c>
      <c r="R66" s="170">
        <f t="shared" si="0"/>
        <v>2.2509225092250924</v>
      </c>
    </row>
    <row r="67" spans="1:18" hidden="1">
      <c r="A67" s="169" t="s">
        <v>651</v>
      </c>
      <c r="B67" s="169" t="s">
        <v>702</v>
      </c>
      <c r="C67" s="169" t="s">
        <v>662</v>
      </c>
      <c r="D67" s="169">
        <v>12</v>
      </c>
      <c r="E67" s="169">
        <v>17</v>
      </c>
      <c r="F67" s="169">
        <v>36</v>
      </c>
      <c r="G67" s="169">
        <v>9</v>
      </c>
      <c r="H67" s="169">
        <v>2</v>
      </c>
      <c r="I67" s="169">
        <v>0</v>
      </c>
      <c r="J67" s="169">
        <v>0</v>
      </c>
      <c r="K67" s="169">
        <v>0</v>
      </c>
      <c r="L67" s="169">
        <v>0</v>
      </c>
      <c r="M67" s="169">
        <v>0</v>
      </c>
      <c r="N67" s="169">
        <v>0</v>
      </c>
      <c r="O67" s="169">
        <v>0</v>
      </c>
      <c r="P67" s="169">
        <v>0</v>
      </c>
      <c r="Q67" s="169">
        <v>77</v>
      </c>
      <c r="R67" s="170">
        <f t="shared" si="0"/>
        <v>1.6103896103896105</v>
      </c>
    </row>
    <row r="68" spans="1:18" hidden="1">
      <c r="A68" s="169" t="s">
        <v>651</v>
      </c>
      <c r="B68" s="169" t="s">
        <v>702</v>
      </c>
      <c r="C68" s="169" t="s">
        <v>663</v>
      </c>
      <c r="D68" s="169">
        <v>11</v>
      </c>
      <c r="E68" s="169">
        <v>83</v>
      </c>
      <c r="F68" s="169">
        <v>152</v>
      </c>
      <c r="G68" s="169">
        <v>101</v>
      </c>
      <c r="H68" s="169">
        <v>79</v>
      </c>
      <c r="I68" s="169">
        <v>26</v>
      </c>
      <c r="J68" s="169">
        <v>17</v>
      </c>
      <c r="K68" s="169">
        <v>9</v>
      </c>
      <c r="L68" s="169">
        <v>0</v>
      </c>
      <c r="M68" s="169">
        <v>12</v>
      </c>
      <c r="N68" s="169">
        <v>4</v>
      </c>
      <c r="O68" s="169">
        <v>0</v>
      </c>
      <c r="P68" s="169">
        <v>4</v>
      </c>
      <c r="Q68" s="169">
        <v>499</v>
      </c>
      <c r="R68" s="170">
        <f t="shared" si="0"/>
        <v>3</v>
      </c>
    </row>
    <row r="69" spans="1:18" hidden="1">
      <c r="A69" s="169" t="s">
        <v>651</v>
      </c>
      <c r="B69" s="169" t="s">
        <v>702</v>
      </c>
      <c r="C69" s="169" t="s">
        <v>664</v>
      </c>
      <c r="D69" s="169">
        <v>0</v>
      </c>
      <c r="E69" s="169">
        <v>35</v>
      </c>
      <c r="F69" s="169">
        <v>48</v>
      </c>
      <c r="G69" s="169">
        <v>67</v>
      </c>
      <c r="H69" s="169">
        <v>38</v>
      </c>
      <c r="I69" s="169">
        <v>5</v>
      </c>
      <c r="J69" s="169">
        <v>3</v>
      </c>
      <c r="K69" s="169">
        <v>4</v>
      </c>
      <c r="L69" s="169">
        <v>0</v>
      </c>
      <c r="M69" s="169">
        <v>0</v>
      </c>
      <c r="N69" s="169">
        <v>0</v>
      </c>
      <c r="O69" s="169">
        <v>0</v>
      </c>
      <c r="P69" s="169">
        <v>0</v>
      </c>
      <c r="Q69" s="169">
        <v>200</v>
      </c>
      <c r="R69" s="170">
        <f t="shared" si="0"/>
        <v>2.7749999999999999</v>
      </c>
    </row>
    <row r="70" spans="1:18">
      <c r="A70" s="169" t="s">
        <v>651</v>
      </c>
      <c r="B70" s="169" t="s">
        <v>702</v>
      </c>
      <c r="C70" s="169" t="s">
        <v>665</v>
      </c>
      <c r="D70" s="169">
        <v>23</v>
      </c>
      <c r="E70" s="169">
        <v>115</v>
      </c>
      <c r="F70" s="169">
        <v>180</v>
      </c>
      <c r="G70" s="169">
        <v>113</v>
      </c>
      <c r="H70" s="169">
        <v>57</v>
      </c>
      <c r="I70" s="169">
        <v>10</v>
      </c>
      <c r="J70" s="169">
        <v>7</v>
      </c>
      <c r="K70" s="169">
        <v>5</v>
      </c>
      <c r="L70" s="169">
        <v>0</v>
      </c>
      <c r="M70" s="169">
        <v>0</v>
      </c>
      <c r="N70" s="169">
        <v>0</v>
      </c>
      <c r="O70" s="169">
        <v>0</v>
      </c>
      <c r="P70" s="169">
        <v>2</v>
      </c>
      <c r="Q70" s="169">
        <v>512</v>
      </c>
      <c r="R70" s="170">
        <f t="shared" ref="R70:R133" si="1">SUM(D70*D$5,E70*E$5,F70*F$5,G70*G$5,H70*H$5,I70*I$5,J70*J$5,K70*K$5,L70*L$5,M70*M$5,N70*N$5,O70*O$5,P70*P$5)/Q70</f>
        <v>2.330078125</v>
      </c>
    </row>
    <row r="71" spans="1:18" hidden="1">
      <c r="A71" s="169" t="s">
        <v>651</v>
      </c>
      <c r="B71" s="169" t="s">
        <v>702</v>
      </c>
      <c r="C71" s="169" t="s">
        <v>666</v>
      </c>
      <c r="D71" s="169">
        <v>3</v>
      </c>
      <c r="E71" s="169">
        <v>178</v>
      </c>
      <c r="F71" s="169">
        <v>140</v>
      </c>
      <c r="G71" s="169">
        <v>138</v>
      </c>
      <c r="H71" s="169">
        <v>118</v>
      </c>
      <c r="I71" s="169">
        <v>66</v>
      </c>
      <c r="J71" s="169">
        <v>7</v>
      </c>
      <c r="K71" s="169">
        <v>5</v>
      </c>
      <c r="L71" s="169">
        <v>19</v>
      </c>
      <c r="M71" s="169">
        <v>0</v>
      </c>
      <c r="N71" s="169">
        <v>0</v>
      </c>
      <c r="O71" s="169">
        <v>0</v>
      </c>
      <c r="P71" s="169">
        <v>0</v>
      </c>
      <c r="Q71" s="169">
        <v>674</v>
      </c>
      <c r="R71" s="170">
        <f t="shared" si="1"/>
        <v>2.8234421364985165</v>
      </c>
    </row>
    <row r="72" spans="1:18" hidden="1">
      <c r="A72" s="169" t="s">
        <v>651</v>
      </c>
      <c r="B72" s="169" t="s">
        <v>702</v>
      </c>
      <c r="C72" s="169" t="s">
        <v>667</v>
      </c>
      <c r="D72" s="169">
        <v>0</v>
      </c>
      <c r="E72" s="169">
        <v>46</v>
      </c>
      <c r="F72" s="169">
        <v>81</v>
      </c>
      <c r="G72" s="169">
        <v>98</v>
      </c>
      <c r="H72" s="169">
        <v>23</v>
      </c>
      <c r="I72" s="169">
        <v>13</v>
      </c>
      <c r="J72" s="169">
        <v>12</v>
      </c>
      <c r="K72" s="169">
        <v>9</v>
      </c>
      <c r="L72" s="169">
        <v>0</v>
      </c>
      <c r="M72" s="169">
        <v>0</v>
      </c>
      <c r="N72" s="169">
        <v>0</v>
      </c>
      <c r="O72" s="169">
        <v>0</v>
      </c>
      <c r="P72" s="169">
        <v>4</v>
      </c>
      <c r="Q72" s="169">
        <v>286</v>
      </c>
      <c r="R72" s="170">
        <f t="shared" si="1"/>
        <v>2.9440559440559442</v>
      </c>
    </row>
    <row r="73" spans="1:18" hidden="1">
      <c r="A73" s="169" t="s">
        <v>651</v>
      </c>
      <c r="B73" s="169" t="s">
        <v>702</v>
      </c>
      <c r="C73" s="169" t="s">
        <v>668</v>
      </c>
      <c r="D73" s="169">
        <v>35</v>
      </c>
      <c r="E73" s="169">
        <v>229</v>
      </c>
      <c r="F73" s="169">
        <v>214</v>
      </c>
      <c r="G73" s="169">
        <v>176</v>
      </c>
      <c r="H73" s="169">
        <v>31</v>
      </c>
      <c r="I73" s="169">
        <v>38</v>
      </c>
      <c r="J73" s="169">
        <v>11</v>
      </c>
      <c r="K73" s="169">
        <v>3</v>
      </c>
      <c r="L73" s="169">
        <v>0</v>
      </c>
      <c r="M73" s="169">
        <v>0</v>
      </c>
      <c r="N73" s="169">
        <v>0</v>
      </c>
      <c r="O73" s="169">
        <v>0</v>
      </c>
      <c r="P73" s="169">
        <v>0</v>
      </c>
      <c r="Q73" s="169">
        <v>736</v>
      </c>
      <c r="R73" s="170">
        <f t="shared" si="1"/>
        <v>2.1548913043478262</v>
      </c>
    </row>
    <row r="74" spans="1:18" hidden="1">
      <c r="A74" s="169" t="s">
        <v>651</v>
      </c>
      <c r="B74" s="169" t="s">
        <v>702</v>
      </c>
      <c r="C74" s="169" t="s">
        <v>669</v>
      </c>
      <c r="D74" s="169">
        <v>37</v>
      </c>
      <c r="E74" s="169">
        <v>159</v>
      </c>
      <c r="F74" s="169">
        <v>117</v>
      </c>
      <c r="G74" s="169">
        <v>34</v>
      </c>
      <c r="H74" s="169">
        <v>12</v>
      </c>
      <c r="I74" s="169">
        <v>9</v>
      </c>
      <c r="J74" s="169">
        <v>0</v>
      </c>
      <c r="K74" s="169">
        <v>0</v>
      </c>
      <c r="L74" s="169">
        <v>0</v>
      </c>
      <c r="M74" s="169">
        <v>0</v>
      </c>
      <c r="N74" s="169">
        <v>0</v>
      </c>
      <c r="O74" s="169">
        <v>0</v>
      </c>
      <c r="P74" s="169">
        <v>0</v>
      </c>
      <c r="Q74" s="169">
        <v>368</v>
      </c>
      <c r="R74" s="170">
        <f t="shared" si="1"/>
        <v>1.5978260869565217</v>
      </c>
    </row>
    <row r="75" spans="1:18" hidden="1">
      <c r="A75" s="169" t="s">
        <v>651</v>
      </c>
      <c r="B75" s="169" t="s">
        <v>702</v>
      </c>
      <c r="C75" s="169" t="s">
        <v>670</v>
      </c>
      <c r="D75" s="169">
        <v>6</v>
      </c>
      <c r="E75" s="169">
        <v>26</v>
      </c>
      <c r="F75" s="169">
        <v>62</v>
      </c>
      <c r="G75" s="169">
        <v>10</v>
      </c>
      <c r="H75" s="169">
        <v>9</v>
      </c>
      <c r="I75" s="169">
        <v>0</v>
      </c>
      <c r="J75" s="169">
        <v>16</v>
      </c>
      <c r="K75" s="169">
        <v>0</v>
      </c>
      <c r="L75" s="169">
        <v>0</v>
      </c>
      <c r="M75" s="169">
        <v>0</v>
      </c>
      <c r="N75" s="169">
        <v>0</v>
      </c>
      <c r="O75" s="169">
        <v>0</v>
      </c>
      <c r="P75" s="169">
        <v>0</v>
      </c>
      <c r="Q75" s="169">
        <v>130</v>
      </c>
      <c r="R75" s="170">
        <f t="shared" si="1"/>
        <v>2.4</v>
      </c>
    </row>
    <row r="76" spans="1:18" hidden="1">
      <c r="A76" s="169" t="s">
        <v>651</v>
      </c>
      <c r="B76" s="169" t="s">
        <v>702</v>
      </c>
      <c r="C76" s="169" t="s">
        <v>671</v>
      </c>
      <c r="D76" s="169">
        <v>2</v>
      </c>
      <c r="E76" s="169">
        <v>39</v>
      </c>
      <c r="F76" s="169">
        <v>77</v>
      </c>
      <c r="G76" s="169">
        <v>60</v>
      </c>
      <c r="H76" s="169">
        <v>33</v>
      </c>
      <c r="I76" s="169">
        <v>14</v>
      </c>
      <c r="J76" s="169">
        <v>1</v>
      </c>
      <c r="K76" s="169">
        <v>1</v>
      </c>
      <c r="L76" s="169">
        <v>0</v>
      </c>
      <c r="M76" s="169">
        <v>0</v>
      </c>
      <c r="N76" s="169">
        <v>0</v>
      </c>
      <c r="O76" s="169">
        <v>0</v>
      </c>
      <c r="P76" s="169">
        <v>0</v>
      </c>
      <c r="Q76" s="169">
        <v>228</v>
      </c>
      <c r="R76" s="170">
        <f t="shared" si="1"/>
        <v>2.5789473684210527</v>
      </c>
    </row>
    <row r="77" spans="1:18" hidden="1">
      <c r="A77" s="169" t="s">
        <v>651</v>
      </c>
      <c r="B77" s="169" t="s">
        <v>702</v>
      </c>
      <c r="C77" s="169" t="s">
        <v>672</v>
      </c>
      <c r="D77" s="169">
        <v>5</v>
      </c>
      <c r="E77" s="169">
        <v>110</v>
      </c>
      <c r="F77" s="169">
        <v>108</v>
      </c>
      <c r="G77" s="169">
        <v>67</v>
      </c>
      <c r="H77" s="169">
        <v>37</v>
      </c>
      <c r="I77" s="169">
        <v>18</v>
      </c>
      <c r="J77" s="169">
        <v>12</v>
      </c>
      <c r="K77" s="169">
        <v>0</v>
      </c>
      <c r="L77" s="169">
        <v>0</v>
      </c>
      <c r="M77" s="169">
        <v>0</v>
      </c>
      <c r="N77" s="169">
        <v>0</v>
      </c>
      <c r="O77" s="169">
        <v>0</v>
      </c>
      <c r="P77" s="169">
        <v>0</v>
      </c>
      <c r="Q77" s="169">
        <v>358</v>
      </c>
      <c r="R77" s="170">
        <f t="shared" si="1"/>
        <v>2.3379888268156424</v>
      </c>
    </row>
    <row r="78" spans="1:18" hidden="1">
      <c r="A78" s="169" t="s">
        <v>651</v>
      </c>
      <c r="B78" s="169" t="s">
        <v>702</v>
      </c>
      <c r="C78" s="169" t="s">
        <v>673</v>
      </c>
      <c r="D78" s="169">
        <v>47</v>
      </c>
      <c r="E78" s="169">
        <v>275</v>
      </c>
      <c r="F78" s="169">
        <v>317</v>
      </c>
      <c r="G78" s="169">
        <v>234</v>
      </c>
      <c r="H78" s="169">
        <v>99</v>
      </c>
      <c r="I78" s="169">
        <v>50</v>
      </c>
      <c r="J78" s="169">
        <v>27</v>
      </c>
      <c r="K78" s="169">
        <v>5</v>
      </c>
      <c r="L78" s="169">
        <v>0</v>
      </c>
      <c r="M78" s="169">
        <v>0</v>
      </c>
      <c r="N78" s="169">
        <v>0</v>
      </c>
      <c r="O78" s="169">
        <v>0</v>
      </c>
      <c r="P78" s="169">
        <v>0</v>
      </c>
      <c r="Q78" s="169">
        <v>1053</v>
      </c>
      <c r="R78" s="170">
        <f t="shared" si="1"/>
        <v>2.3304843304843303</v>
      </c>
    </row>
    <row r="79" spans="1:18" hidden="1">
      <c r="A79" s="169" t="s">
        <v>651</v>
      </c>
      <c r="B79" s="169" t="s">
        <v>702</v>
      </c>
      <c r="C79" s="169" t="s">
        <v>674</v>
      </c>
      <c r="D79" s="169">
        <v>22</v>
      </c>
      <c r="E79" s="169">
        <v>104</v>
      </c>
      <c r="F79" s="169">
        <v>224</v>
      </c>
      <c r="G79" s="169">
        <v>124</v>
      </c>
      <c r="H79" s="169">
        <v>54</v>
      </c>
      <c r="I79" s="169">
        <v>25</v>
      </c>
      <c r="J79" s="169">
        <v>6</v>
      </c>
      <c r="K79" s="169">
        <v>17</v>
      </c>
      <c r="L79" s="169">
        <v>7</v>
      </c>
      <c r="M79" s="169">
        <v>0</v>
      </c>
      <c r="N79" s="169">
        <v>0</v>
      </c>
      <c r="O79" s="169">
        <v>0</v>
      </c>
      <c r="P79" s="169">
        <v>0</v>
      </c>
      <c r="Q79" s="169">
        <v>583</v>
      </c>
      <c r="R79" s="170">
        <f t="shared" si="1"/>
        <v>2.5317324185248715</v>
      </c>
    </row>
    <row r="80" spans="1:18" hidden="1">
      <c r="A80" s="169" t="s">
        <v>651</v>
      </c>
      <c r="B80" s="169" t="s">
        <v>702</v>
      </c>
      <c r="C80" s="169" t="s">
        <v>675</v>
      </c>
      <c r="D80" s="169">
        <v>14</v>
      </c>
      <c r="E80" s="169">
        <v>162</v>
      </c>
      <c r="F80" s="169">
        <v>174</v>
      </c>
      <c r="G80" s="169">
        <v>168</v>
      </c>
      <c r="H80" s="169">
        <v>63</v>
      </c>
      <c r="I80" s="169">
        <v>49</v>
      </c>
      <c r="J80" s="169">
        <v>0</v>
      </c>
      <c r="K80" s="169">
        <v>2</v>
      </c>
      <c r="L80" s="169">
        <v>0</v>
      </c>
      <c r="M80" s="169">
        <v>0</v>
      </c>
      <c r="N80" s="169">
        <v>0</v>
      </c>
      <c r="O80" s="169">
        <v>0</v>
      </c>
      <c r="P80" s="169">
        <v>0</v>
      </c>
      <c r="Q80" s="169">
        <v>632</v>
      </c>
      <c r="R80" s="170">
        <f t="shared" si="1"/>
        <v>2.412974683544304</v>
      </c>
    </row>
    <row r="81" spans="1:18" hidden="1">
      <c r="A81" s="169" t="s">
        <v>651</v>
      </c>
      <c r="B81" s="169" t="s">
        <v>702</v>
      </c>
      <c r="C81" s="169" t="s">
        <v>676</v>
      </c>
      <c r="D81" s="169">
        <v>45</v>
      </c>
      <c r="E81" s="169">
        <v>168</v>
      </c>
      <c r="F81" s="169">
        <v>161</v>
      </c>
      <c r="G81" s="169">
        <v>118</v>
      </c>
      <c r="H81" s="169">
        <v>36</v>
      </c>
      <c r="I81" s="169">
        <v>5</v>
      </c>
      <c r="J81" s="169">
        <v>10</v>
      </c>
      <c r="K81" s="169">
        <v>3</v>
      </c>
      <c r="L81" s="169">
        <v>0</v>
      </c>
      <c r="M81" s="169">
        <v>0</v>
      </c>
      <c r="N81" s="169">
        <v>0</v>
      </c>
      <c r="O81" s="169">
        <v>0</v>
      </c>
      <c r="P81" s="169">
        <v>0</v>
      </c>
      <c r="Q81" s="169">
        <v>546</v>
      </c>
      <c r="R81" s="170">
        <f t="shared" si="1"/>
        <v>2.0036630036630036</v>
      </c>
    </row>
    <row r="82" spans="1:18" hidden="1">
      <c r="A82" s="169" t="s">
        <v>651</v>
      </c>
      <c r="B82" s="169" t="s">
        <v>702</v>
      </c>
      <c r="C82" s="169" t="s">
        <v>677</v>
      </c>
      <c r="D82" s="169">
        <v>0</v>
      </c>
      <c r="E82" s="169">
        <v>44</v>
      </c>
      <c r="F82" s="169">
        <v>52</v>
      </c>
      <c r="G82" s="169">
        <v>23</v>
      </c>
      <c r="H82" s="169">
        <v>40</v>
      </c>
      <c r="I82" s="169">
        <v>9</v>
      </c>
      <c r="J82" s="169">
        <v>18</v>
      </c>
      <c r="K82" s="169">
        <v>1</v>
      </c>
      <c r="L82" s="169">
        <v>2</v>
      </c>
      <c r="M82" s="169">
        <v>0</v>
      </c>
      <c r="N82" s="169">
        <v>0</v>
      </c>
      <c r="O82" s="169">
        <v>0</v>
      </c>
      <c r="P82" s="169">
        <v>2</v>
      </c>
      <c r="Q82" s="169">
        <v>190</v>
      </c>
      <c r="R82" s="170">
        <f t="shared" si="1"/>
        <v>3.0368421052631578</v>
      </c>
    </row>
    <row r="83" spans="1:18" hidden="1">
      <c r="A83" s="169" t="s">
        <v>651</v>
      </c>
      <c r="B83" s="169" t="s">
        <v>702</v>
      </c>
      <c r="C83" s="169" t="s">
        <v>678</v>
      </c>
      <c r="D83" s="169">
        <v>39</v>
      </c>
      <c r="E83" s="169">
        <v>290</v>
      </c>
      <c r="F83" s="169">
        <v>357</v>
      </c>
      <c r="G83" s="169">
        <v>223</v>
      </c>
      <c r="H83" s="169">
        <v>112</v>
      </c>
      <c r="I83" s="169">
        <v>44</v>
      </c>
      <c r="J83" s="169">
        <v>19</v>
      </c>
      <c r="K83" s="169">
        <v>9</v>
      </c>
      <c r="L83" s="169">
        <v>2</v>
      </c>
      <c r="M83" s="169">
        <v>0</v>
      </c>
      <c r="N83" s="169">
        <v>0</v>
      </c>
      <c r="O83" s="169">
        <v>0</v>
      </c>
      <c r="P83" s="169">
        <v>0</v>
      </c>
      <c r="Q83" s="169">
        <v>1096</v>
      </c>
      <c r="R83" s="170">
        <f t="shared" si="1"/>
        <v>2.312043795620438</v>
      </c>
    </row>
    <row r="84" spans="1:18" hidden="1">
      <c r="A84" s="169" t="s">
        <v>651</v>
      </c>
      <c r="B84" s="169" t="s">
        <v>702</v>
      </c>
      <c r="C84" s="169" t="s">
        <v>679</v>
      </c>
      <c r="D84" s="169">
        <v>2</v>
      </c>
      <c r="E84" s="169">
        <v>15</v>
      </c>
      <c r="F84" s="169">
        <v>24</v>
      </c>
      <c r="G84" s="169">
        <v>26</v>
      </c>
      <c r="H84" s="169">
        <v>12</v>
      </c>
      <c r="I84" s="169">
        <v>9</v>
      </c>
      <c r="J84" s="169">
        <v>2</v>
      </c>
      <c r="K84" s="169">
        <v>0</v>
      </c>
      <c r="L84" s="169">
        <v>0</v>
      </c>
      <c r="M84" s="169">
        <v>0</v>
      </c>
      <c r="N84" s="169">
        <v>1</v>
      </c>
      <c r="O84" s="169">
        <v>2</v>
      </c>
      <c r="P84" s="169">
        <v>1</v>
      </c>
      <c r="Q84" s="169">
        <v>92</v>
      </c>
      <c r="R84" s="170">
        <f t="shared" si="1"/>
        <v>3.152173913043478</v>
      </c>
    </row>
    <row r="85" spans="1:18" hidden="1">
      <c r="A85" s="169" t="s">
        <v>651</v>
      </c>
      <c r="B85" s="169" t="s">
        <v>702</v>
      </c>
      <c r="C85" s="169" t="s">
        <v>680</v>
      </c>
      <c r="D85" s="169">
        <v>9</v>
      </c>
      <c r="E85" s="169">
        <v>21</v>
      </c>
      <c r="F85" s="169">
        <v>55</v>
      </c>
      <c r="G85" s="169">
        <v>37</v>
      </c>
      <c r="H85" s="169">
        <v>10</v>
      </c>
      <c r="I85" s="169">
        <v>8</v>
      </c>
      <c r="J85" s="169">
        <v>4</v>
      </c>
      <c r="K85" s="169">
        <v>0</v>
      </c>
      <c r="L85" s="169">
        <v>0</v>
      </c>
      <c r="M85" s="169">
        <v>1</v>
      </c>
      <c r="N85" s="169">
        <v>0</v>
      </c>
      <c r="O85" s="169">
        <v>0</v>
      </c>
      <c r="P85" s="169">
        <v>0</v>
      </c>
      <c r="Q85" s="169">
        <v>145</v>
      </c>
      <c r="R85" s="170">
        <f t="shared" si="1"/>
        <v>2.4482758620689653</v>
      </c>
    </row>
    <row r="86" spans="1:18" hidden="1">
      <c r="A86" s="169" t="s">
        <v>651</v>
      </c>
      <c r="B86" s="169" t="s">
        <v>702</v>
      </c>
      <c r="C86" s="169" t="s">
        <v>681</v>
      </c>
      <c r="D86" s="169">
        <v>1</v>
      </c>
      <c r="E86" s="169">
        <v>42</v>
      </c>
      <c r="F86" s="169">
        <v>54</v>
      </c>
      <c r="G86" s="169">
        <v>35</v>
      </c>
      <c r="H86" s="169">
        <v>18</v>
      </c>
      <c r="I86" s="169">
        <v>1</v>
      </c>
      <c r="J86" s="169">
        <v>2</v>
      </c>
      <c r="K86" s="169">
        <v>4</v>
      </c>
      <c r="L86" s="169">
        <v>0</v>
      </c>
      <c r="M86" s="169">
        <v>0</v>
      </c>
      <c r="N86" s="169">
        <v>2</v>
      </c>
      <c r="O86" s="169">
        <v>0</v>
      </c>
      <c r="P86" s="169">
        <v>0</v>
      </c>
      <c r="Q86" s="169">
        <v>157</v>
      </c>
      <c r="R86" s="170">
        <f t="shared" si="1"/>
        <v>2.4968152866242037</v>
      </c>
    </row>
    <row r="87" spans="1:18" hidden="1">
      <c r="A87" s="169" t="s">
        <v>651</v>
      </c>
      <c r="B87" s="169" t="s">
        <v>702</v>
      </c>
      <c r="C87" s="169" t="s">
        <v>682</v>
      </c>
      <c r="D87" s="169">
        <v>16</v>
      </c>
      <c r="E87" s="169">
        <v>11</v>
      </c>
      <c r="F87" s="169">
        <v>23</v>
      </c>
      <c r="G87" s="169">
        <v>35</v>
      </c>
      <c r="H87" s="169">
        <v>7</v>
      </c>
      <c r="I87" s="169">
        <v>0</v>
      </c>
      <c r="J87" s="169">
        <v>0</v>
      </c>
      <c r="K87" s="169">
        <v>0</v>
      </c>
      <c r="L87" s="169">
        <v>11</v>
      </c>
      <c r="M87" s="169">
        <v>0</v>
      </c>
      <c r="N87" s="169">
        <v>0</v>
      </c>
      <c r="O87" s="169">
        <v>0</v>
      </c>
      <c r="P87" s="169">
        <v>0</v>
      </c>
      <c r="Q87" s="169">
        <v>103</v>
      </c>
      <c r="R87" s="170">
        <f t="shared" si="1"/>
        <v>2.6990291262135924</v>
      </c>
    </row>
    <row r="88" spans="1:18" hidden="1">
      <c r="A88" s="169" t="s">
        <v>651</v>
      </c>
      <c r="B88" s="169" t="s">
        <v>702</v>
      </c>
      <c r="C88" s="169" t="s">
        <v>683</v>
      </c>
      <c r="D88" s="169">
        <v>0</v>
      </c>
      <c r="E88" s="169">
        <v>30</v>
      </c>
      <c r="F88" s="169">
        <v>28</v>
      </c>
      <c r="G88" s="169">
        <v>17</v>
      </c>
      <c r="H88" s="169">
        <v>27</v>
      </c>
      <c r="I88" s="169">
        <v>6</v>
      </c>
      <c r="J88" s="169">
        <v>2</v>
      </c>
      <c r="K88" s="169">
        <v>0</v>
      </c>
      <c r="L88" s="169">
        <v>0</v>
      </c>
      <c r="M88" s="169">
        <v>0</v>
      </c>
      <c r="N88" s="169">
        <v>0</v>
      </c>
      <c r="O88" s="169">
        <v>0</v>
      </c>
      <c r="P88" s="169">
        <v>0</v>
      </c>
      <c r="Q88" s="169">
        <v>110</v>
      </c>
      <c r="R88" s="170">
        <f t="shared" si="1"/>
        <v>2.6090909090909089</v>
      </c>
    </row>
    <row r="89" spans="1:18" hidden="1">
      <c r="A89" s="169" t="s">
        <v>651</v>
      </c>
      <c r="B89" s="169" t="s">
        <v>702</v>
      </c>
      <c r="C89" s="169" t="s">
        <v>684</v>
      </c>
      <c r="D89" s="169">
        <v>0</v>
      </c>
      <c r="E89" s="169">
        <v>9</v>
      </c>
      <c r="F89" s="169">
        <v>7</v>
      </c>
      <c r="G89" s="169">
        <v>4</v>
      </c>
      <c r="H89" s="169">
        <v>0</v>
      </c>
      <c r="I89" s="169">
        <v>4</v>
      </c>
      <c r="J89" s="169">
        <v>0</v>
      </c>
      <c r="K89" s="169">
        <v>0</v>
      </c>
      <c r="L89" s="169">
        <v>0</v>
      </c>
      <c r="M89" s="169">
        <v>0</v>
      </c>
      <c r="N89" s="169">
        <v>0</v>
      </c>
      <c r="O89" s="169">
        <v>0</v>
      </c>
      <c r="P89" s="169">
        <v>0</v>
      </c>
      <c r="Q89" s="169">
        <v>24</v>
      </c>
      <c r="R89" s="170">
        <f t="shared" si="1"/>
        <v>2.2916666666666665</v>
      </c>
    </row>
    <row r="90" spans="1:18" hidden="1">
      <c r="A90" s="169" t="s">
        <v>651</v>
      </c>
      <c r="B90" s="169" t="s">
        <v>702</v>
      </c>
      <c r="C90" s="169" t="s">
        <v>685</v>
      </c>
      <c r="D90" s="169">
        <v>30</v>
      </c>
      <c r="E90" s="169">
        <v>220</v>
      </c>
      <c r="F90" s="169">
        <v>269</v>
      </c>
      <c r="G90" s="169">
        <v>146</v>
      </c>
      <c r="H90" s="169">
        <v>77</v>
      </c>
      <c r="I90" s="169">
        <v>27</v>
      </c>
      <c r="J90" s="169">
        <v>13</v>
      </c>
      <c r="K90" s="169">
        <v>4</v>
      </c>
      <c r="L90" s="169">
        <v>2</v>
      </c>
      <c r="M90" s="169">
        <v>0</v>
      </c>
      <c r="N90" s="169">
        <v>0</v>
      </c>
      <c r="O90" s="169">
        <v>0</v>
      </c>
      <c r="P90" s="169">
        <v>0</v>
      </c>
      <c r="Q90" s="169">
        <v>789</v>
      </c>
      <c r="R90" s="170">
        <f t="shared" si="1"/>
        <v>2.2319391634980987</v>
      </c>
    </row>
    <row r="91" spans="1:18" hidden="1">
      <c r="A91" s="169" t="s">
        <v>651</v>
      </c>
      <c r="B91" s="169" t="s">
        <v>702</v>
      </c>
      <c r="C91" s="169" t="s">
        <v>686</v>
      </c>
      <c r="D91" s="169">
        <v>65</v>
      </c>
      <c r="E91" s="169">
        <v>137</v>
      </c>
      <c r="F91" s="169">
        <v>248</v>
      </c>
      <c r="G91" s="169">
        <v>201</v>
      </c>
      <c r="H91" s="169">
        <v>69</v>
      </c>
      <c r="I91" s="169">
        <v>59</v>
      </c>
      <c r="J91" s="169">
        <v>35</v>
      </c>
      <c r="K91" s="169">
        <v>40</v>
      </c>
      <c r="L91" s="169">
        <v>0</v>
      </c>
      <c r="M91" s="169">
        <v>0</v>
      </c>
      <c r="N91" s="169">
        <v>0</v>
      </c>
      <c r="O91" s="169">
        <v>0</v>
      </c>
      <c r="P91" s="169">
        <v>0</v>
      </c>
      <c r="Q91" s="169">
        <v>854</v>
      </c>
      <c r="R91" s="170">
        <f t="shared" si="1"/>
        <v>2.689695550351288</v>
      </c>
    </row>
    <row r="92" spans="1:18" hidden="1">
      <c r="A92" s="169" t="s">
        <v>651</v>
      </c>
      <c r="B92" s="169" t="s">
        <v>702</v>
      </c>
      <c r="C92" s="169" t="s">
        <v>687</v>
      </c>
      <c r="D92" s="169">
        <v>20</v>
      </c>
      <c r="E92" s="169">
        <v>125</v>
      </c>
      <c r="F92" s="169">
        <v>105</v>
      </c>
      <c r="G92" s="169">
        <v>119</v>
      </c>
      <c r="H92" s="169">
        <v>64</v>
      </c>
      <c r="I92" s="169">
        <v>58</v>
      </c>
      <c r="J92" s="169">
        <v>6</v>
      </c>
      <c r="K92" s="169">
        <v>4</v>
      </c>
      <c r="L92" s="169">
        <v>0</v>
      </c>
      <c r="M92" s="169">
        <v>0</v>
      </c>
      <c r="N92" s="169">
        <v>0</v>
      </c>
      <c r="O92" s="169">
        <v>0</v>
      </c>
      <c r="P92" s="169">
        <v>0</v>
      </c>
      <c r="Q92" s="169">
        <v>502</v>
      </c>
      <c r="R92" s="170">
        <f t="shared" si="1"/>
        <v>2.593625498007968</v>
      </c>
    </row>
    <row r="93" spans="1:18" hidden="1">
      <c r="A93" s="169" t="s">
        <v>651</v>
      </c>
      <c r="B93" s="169" t="s">
        <v>702</v>
      </c>
      <c r="C93" s="169" t="s">
        <v>688</v>
      </c>
      <c r="D93" s="169">
        <v>13</v>
      </c>
      <c r="E93" s="169">
        <v>17</v>
      </c>
      <c r="F93" s="169">
        <v>60</v>
      </c>
      <c r="G93" s="169">
        <v>64</v>
      </c>
      <c r="H93" s="169">
        <v>23</v>
      </c>
      <c r="I93" s="169">
        <v>11</v>
      </c>
      <c r="J93" s="169">
        <v>0</v>
      </c>
      <c r="K93" s="169">
        <v>5</v>
      </c>
      <c r="L93" s="169">
        <v>0</v>
      </c>
      <c r="M93" s="169">
        <v>0</v>
      </c>
      <c r="N93" s="169">
        <v>0</v>
      </c>
      <c r="O93" s="169">
        <v>0</v>
      </c>
      <c r="P93" s="169">
        <v>0</v>
      </c>
      <c r="Q93" s="169">
        <v>195</v>
      </c>
      <c r="R93" s="170">
        <f t="shared" si="1"/>
        <v>2.6205128205128205</v>
      </c>
    </row>
    <row r="94" spans="1:18" hidden="1">
      <c r="A94" s="169" t="s">
        <v>651</v>
      </c>
      <c r="B94" s="169" t="s">
        <v>702</v>
      </c>
      <c r="C94" s="169" t="s">
        <v>689</v>
      </c>
      <c r="D94" s="169">
        <v>32</v>
      </c>
      <c r="E94" s="169">
        <v>218</v>
      </c>
      <c r="F94" s="169">
        <v>366</v>
      </c>
      <c r="G94" s="169">
        <v>222</v>
      </c>
      <c r="H94" s="169">
        <v>82</v>
      </c>
      <c r="I94" s="169">
        <v>22</v>
      </c>
      <c r="J94" s="169">
        <v>9</v>
      </c>
      <c r="K94" s="169">
        <v>12</v>
      </c>
      <c r="L94" s="169">
        <v>0</v>
      </c>
      <c r="M94" s="169">
        <v>4</v>
      </c>
      <c r="N94" s="169">
        <v>0</v>
      </c>
      <c r="O94" s="169">
        <v>0</v>
      </c>
      <c r="P94" s="169">
        <v>0</v>
      </c>
      <c r="Q94" s="169">
        <v>968</v>
      </c>
      <c r="R94" s="170">
        <f t="shared" si="1"/>
        <v>2.3016528925619837</v>
      </c>
    </row>
    <row r="95" spans="1:18" hidden="1">
      <c r="A95" s="169" t="s">
        <v>651</v>
      </c>
      <c r="B95" s="169" t="s">
        <v>702</v>
      </c>
      <c r="C95" s="169" t="s">
        <v>690</v>
      </c>
      <c r="D95" s="169">
        <v>0</v>
      </c>
      <c r="E95" s="169">
        <v>11</v>
      </c>
      <c r="F95" s="169">
        <v>11</v>
      </c>
      <c r="G95" s="169">
        <v>8</v>
      </c>
      <c r="H95" s="169">
        <v>2</v>
      </c>
      <c r="I95" s="169">
        <v>0</v>
      </c>
      <c r="J95" s="169">
        <v>0</v>
      </c>
      <c r="K95" s="169">
        <v>0</v>
      </c>
      <c r="L95" s="169">
        <v>0</v>
      </c>
      <c r="M95" s="169">
        <v>0</v>
      </c>
      <c r="N95" s="169">
        <v>0</v>
      </c>
      <c r="O95" s="169">
        <v>0</v>
      </c>
      <c r="P95" s="169">
        <v>0</v>
      </c>
      <c r="Q95" s="169">
        <v>33</v>
      </c>
      <c r="R95" s="170">
        <f t="shared" si="1"/>
        <v>1.9696969696969697</v>
      </c>
    </row>
    <row r="96" spans="1:18" hidden="1">
      <c r="A96" s="169" t="s">
        <v>651</v>
      </c>
      <c r="B96" s="169" t="s">
        <v>702</v>
      </c>
      <c r="C96" s="169" t="s">
        <v>691</v>
      </c>
      <c r="D96" s="169">
        <v>27</v>
      </c>
      <c r="E96" s="169">
        <v>161</v>
      </c>
      <c r="F96" s="169">
        <v>189</v>
      </c>
      <c r="G96" s="169">
        <v>107</v>
      </c>
      <c r="H96" s="169">
        <v>47</v>
      </c>
      <c r="I96" s="169">
        <v>22</v>
      </c>
      <c r="J96" s="169">
        <v>6</v>
      </c>
      <c r="K96" s="169">
        <v>1</v>
      </c>
      <c r="L96" s="169">
        <v>1</v>
      </c>
      <c r="M96" s="169">
        <v>1</v>
      </c>
      <c r="N96" s="169">
        <v>0</v>
      </c>
      <c r="O96" s="169">
        <v>0</v>
      </c>
      <c r="P96" s="169">
        <v>1</v>
      </c>
      <c r="Q96" s="169">
        <v>564</v>
      </c>
      <c r="R96" s="170">
        <f t="shared" si="1"/>
        <v>2.1808510638297873</v>
      </c>
    </row>
    <row r="97" spans="1:18" hidden="1">
      <c r="A97" s="169" t="s">
        <v>651</v>
      </c>
      <c r="B97" s="169" t="s">
        <v>702</v>
      </c>
      <c r="C97" s="169" t="s">
        <v>692</v>
      </c>
      <c r="D97" s="169">
        <v>0</v>
      </c>
      <c r="E97" s="169">
        <v>19</v>
      </c>
      <c r="F97" s="169">
        <v>30</v>
      </c>
      <c r="G97" s="169">
        <v>28</v>
      </c>
      <c r="H97" s="169">
        <v>15</v>
      </c>
      <c r="I97" s="169">
        <v>2</v>
      </c>
      <c r="J97" s="169">
        <v>5</v>
      </c>
      <c r="K97" s="169">
        <v>5</v>
      </c>
      <c r="L97" s="169">
        <v>0</v>
      </c>
      <c r="M97" s="169">
        <v>0</v>
      </c>
      <c r="N97" s="169">
        <v>0</v>
      </c>
      <c r="O97" s="169">
        <v>0</v>
      </c>
      <c r="P97" s="169">
        <v>1</v>
      </c>
      <c r="Q97" s="169">
        <v>106</v>
      </c>
      <c r="R97" s="170">
        <f t="shared" si="1"/>
        <v>2.9245283018867925</v>
      </c>
    </row>
    <row r="98" spans="1:18" hidden="1">
      <c r="A98" s="169" t="s">
        <v>651</v>
      </c>
      <c r="B98" s="169" t="s">
        <v>702</v>
      </c>
      <c r="C98" s="169" t="s">
        <v>693</v>
      </c>
      <c r="D98" s="169">
        <v>32</v>
      </c>
      <c r="E98" s="169">
        <v>209</v>
      </c>
      <c r="F98" s="169">
        <v>333</v>
      </c>
      <c r="G98" s="169">
        <v>132</v>
      </c>
      <c r="H98" s="169">
        <v>67</v>
      </c>
      <c r="I98" s="169">
        <v>61</v>
      </c>
      <c r="J98" s="169">
        <v>2</v>
      </c>
      <c r="K98" s="169">
        <v>0</v>
      </c>
      <c r="L98" s="169">
        <v>0</v>
      </c>
      <c r="M98" s="169">
        <v>0</v>
      </c>
      <c r="N98" s="169">
        <v>0</v>
      </c>
      <c r="O98" s="169">
        <v>0</v>
      </c>
      <c r="P98" s="169">
        <v>0</v>
      </c>
      <c r="Q98" s="169">
        <v>835</v>
      </c>
      <c r="R98" s="170">
        <f t="shared" si="1"/>
        <v>2.2227544910179642</v>
      </c>
    </row>
    <row r="99" spans="1:18" hidden="1">
      <c r="A99" s="169" t="s">
        <v>651</v>
      </c>
      <c r="B99" s="169" t="s">
        <v>702</v>
      </c>
      <c r="C99" s="169" t="s">
        <v>694</v>
      </c>
      <c r="D99" s="169">
        <v>45</v>
      </c>
      <c r="E99" s="169">
        <v>365</v>
      </c>
      <c r="F99" s="169">
        <v>496</v>
      </c>
      <c r="G99" s="169">
        <v>287</v>
      </c>
      <c r="H99" s="169">
        <v>133</v>
      </c>
      <c r="I99" s="169">
        <v>36</v>
      </c>
      <c r="J99" s="169">
        <v>17</v>
      </c>
      <c r="K99" s="169">
        <v>8</v>
      </c>
      <c r="L99" s="169">
        <v>4</v>
      </c>
      <c r="M99" s="169">
        <v>1</v>
      </c>
      <c r="N99" s="169">
        <v>0</v>
      </c>
      <c r="O99" s="169">
        <v>0</v>
      </c>
      <c r="P99" s="169">
        <v>1</v>
      </c>
      <c r="Q99" s="169">
        <v>1394</v>
      </c>
      <c r="R99" s="170">
        <f t="shared" si="1"/>
        <v>2.2532281205164995</v>
      </c>
    </row>
    <row r="100" spans="1:18" hidden="1">
      <c r="A100" s="169" t="s">
        <v>651</v>
      </c>
      <c r="B100" s="169" t="s">
        <v>702</v>
      </c>
      <c r="C100" s="169" t="s">
        <v>695</v>
      </c>
      <c r="D100" s="169">
        <v>0</v>
      </c>
      <c r="E100" s="169">
        <v>12</v>
      </c>
      <c r="F100" s="169">
        <v>33</v>
      </c>
      <c r="G100" s="169">
        <v>30</v>
      </c>
      <c r="H100" s="169">
        <v>6</v>
      </c>
      <c r="I100" s="169">
        <v>0</v>
      </c>
      <c r="J100" s="169">
        <v>0</v>
      </c>
      <c r="K100" s="169">
        <v>8</v>
      </c>
      <c r="L100" s="169">
        <v>0</v>
      </c>
      <c r="M100" s="169">
        <v>3</v>
      </c>
      <c r="N100" s="169">
        <v>0</v>
      </c>
      <c r="O100" s="169">
        <v>0</v>
      </c>
      <c r="P100" s="169">
        <v>0</v>
      </c>
      <c r="Q100" s="169">
        <v>91</v>
      </c>
      <c r="R100" s="170">
        <f t="shared" si="1"/>
        <v>3.0219780219780219</v>
      </c>
    </row>
    <row r="101" spans="1:18" hidden="1">
      <c r="A101" s="169" t="s">
        <v>651</v>
      </c>
      <c r="B101" s="169" t="s">
        <v>702</v>
      </c>
      <c r="C101" s="169" t="s">
        <v>696</v>
      </c>
      <c r="D101" s="169">
        <v>30</v>
      </c>
      <c r="E101" s="169">
        <v>159</v>
      </c>
      <c r="F101" s="169">
        <v>186</v>
      </c>
      <c r="G101" s="169">
        <v>183</v>
      </c>
      <c r="H101" s="169">
        <v>100</v>
      </c>
      <c r="I101" s="169">
        <v>23</v>
      </c>
      <c r="J101" s="169">
        <v>11</v>
      </c>
      <c r="K101" s="169">
        <v>9</v>
      </c>
      <c r="L101" s="169">
        <v>0</v>
      </c>
      <c r="M101" s="169">
        <v>0</v>
      </c>
      <c r="N101" s="169">
        <v>0</v>
      </c>
      <c r="O101" s="169">
        <v>0</v>
      </c>
      <c r="P101" s="169">
        <v>0</v>
      </c>
      <c r="Q101" s="169">
        <v>701</v>
      </c>
      <c r="R101" s="170">
        <f t="shared" si="1"/>
        <v>2.4593437945791727</v>
      </c>
    </row>
    <row r="102" spans="1:18" hidden="1">
      <c r="A102" s="169" t="s">
        <v>651</v>
      </c>
      <c r="B102" s="169" t="s">
        <v>702</v>
      </c>
      <c r="C102" s="169" t="s">
        <v>697</v>
      </c>
      <c r="D102" s="169">
        <v>13</v>
      </c>
      <c r="E102" s="169">
        <v>43</v>
      </c>
      <c r="F102" s="169">
        <v>77</v>
      </c>
      <c r="G102" s="169">
        <v>40</v>
      </c>
      <c r="H102" s="169">
        <v>19</v>
      </c>
      <c r="I102" s="169">
        <v>2</v>
      </c>
      <c r="J102" s="169">
        <v>2</v>
      </c>
      <c r="K102" s="169">
        <v>0</v>
      </c>
      <c r="L102" s="169">
        <v>0</v>
      </c>
      <c r="M102" s="169">
        <v>0</v>
      </c>
      <c r="N102" s="169">
        <v>0</v>
      </c>
      <c r="O102" s="169">
        <v>0</v>
      </c>
      <c r="P102" s="169">
        <v>0</v>
      </c>
      <c r="Q102" s="169">
        <v>196</v>
      </c>
      <c r="R102" s="170">
        <f t="shared" si="1"/>
        <v>2.1173469387755102</v>
      </c>
    </row>
    <row r="103" spans="1:18" hidden="1">
      <c r="A103" s="169" t="s">
        <v>651</v>
      </c>
      <c r="B103" s="169" t="s">
        <v>702</v>
      </c>
      <c r="C103" s="169" t="s">
        <v>698</v>
      </c>
      <c r="D103" s="169">
        <v>6</v>
      </c>
      <c r="E103" s="169">
        <v>49</v>
      </c>
      <c r="F103" s="169">
        <v>159</v>
      </c>
      <c r="G103" s="169">
        <v>97</v>
      </c>
      <c r="H103" s="169">
        <v>33</v>
      </c>
      <c r="I103" s="169">
        <v>33</v>
      </c>
      <c r="J103" s="169">
        <v>4</v>
      </c>
      <c r="K103" s="169">
        <v>5</v>
      </c>
      <c r="L103" s="169">
        <v>0</v>
      </c>
      <c r="M103" s="169">
        <v>0</v>
      </c>
      <c r="N103" s="169">
        <v>0</v>
      </c>
      <c r="O103" s="169">
        <v>0</v>
      </c>
      <c r="P103" s="169">
        <v>0</v>
      </c>
      <c r="Q103" s="169">
        <v>386</v>
      </c>
      <c r="R103" s="170">
        <f t="shared" si="1"/>
        <v>2.6269430051813472</v>
      </c>
    </row>
    <row r="104" spans="1:18" hidden="1">
      <c r="A104" s="169" t="s">
        <v>651</v>
      </c>
      <c r="B104" s="169" t="s">
        <v>702</v>
      </c>
      <c r="C104" s="169" t="s">
        <v>699</v>
      </c>
      <c r="D104" s="169">
        <v>12</v>
      </c>
      <c r="E104" s="169">
        <v>148</v>
      </c>
      <c r="F104" s="169">
        <v>235</v>
      </c>
      <c r="G104" s="169">
        <v>157</v>
      </c>
      <c r="H104" s="169">
        <v>76</v>
      </c>
      <c r="I104" s="169">
        <v>27</v>
      </c>
      <c r="J104" s="169">
        <v>15</v>
      </c>
      <c r="K104" s="169">
        <v>5</v>
      </c>
      <c r="L104" s="169">
        <v>3</v>
      </c>
      <c r="M104" s="169">
        <v>1</v>
      </c>
      <c r="N104" s="169">
        <v>1</v>
      </c>
      <c r="O104" s="169">
        <v>0</v>
      </c>
      <c r="P104" s="169">
        <v>0</v>
      </c>
      <c r="Q104" s="169">
        <v>681</v>
      </c>
      <c r="R104" s="170">
        <f t="shared" si="1"/>
        <v>2.4904552129221731</v>
      </c>
    </row>
    <row r="105" spans="1:18" hidden="1">
      <c r="A105" s="169" t="s">
        <v>651</v>
      </c>
      <c r="B105" s="169" t="s">
        <v>702</v>
      </c>
      <c r="C105" s="169" t="s">
        <v>700</v>
      </c>
      <c r="D105" s="169">
        <v>35</v>
      </c>
      <c r="E105" s="169">
        <v>126</v>
      </c>
      <c r="F105" s="169">
        <v>98</v>
      </c>
      <c r="G105" s="169">
        <v>64</v>
      </c>
      <c r="H105" s="169">
        <v>22</v>
      </c>
      <c r="I105" s="169">
        <v>9</v>
      </c>
      <c r="J105" s="169">
        <v>10</v>
      </c>
      <c r="K105" s="169">
        <v>0</v>
      </c>
      <c r="L105" s="169">
        <v>0</v>
      </c>
      <c r="M105" s="169">
        <v>0</v>
      </c>
      <c r="N105" s="169">
        <v>0</v>
      </c>
      <c r="O105" s="169">
        <v>0</v>
      </c>
      <c r="P105" s="169">
        <v>0</v>
      </c>
      <c r="Q105" s="169">
        <v>365</v>
      </c>
      <c r="R105" s="170">
        <f t="shared" si="1"/>
        <v>1.9369863013698629</v>
      </c>
    </row>
    <row r="106" spans="1:18" hidden="1">
      <c r="A106" s="169" t="s">
        <v>651</v>
      </c>
      <c r="B106" s="169" t="s">
        <v>702</v>
      </c>
      <c r="C106" s="169" t="s">
        <v>701</v>
      </c>
      <c r="D106" s="169">
        <v>2</v>
      </c>
      <c r="E106" s="169">
        <v>11</v>
      </c>
      <c r="F106" s="169">
        <v>19</v>
      </c>
      <c r="G106" s="169">
        <v>19</v>
      </c>
      <c r="H106" s="169">
        <v>11</v>
      </c>
      <c r="I106" s="169">
        <v>1</v>
      </c>
      <c r="J106" s="169">
        <v>0</v>
      </c>
      <c r="K106" s="169">
        <v>0</v>
      </c>
      <c r="L106" s="169">
        <v>2</v>
      </c>
      <c r="M106" s="169">
        <v>1</v>
      </c>
      <c r="N106" s="169">
        <v>0</v>
      </c>
      <c r="O106" s="169">
        <v>0</v>
      </c>
      <c r="P106" s="169">
        <v>0</v>
      </c>
      <c r="Q106" s="169">
        <v>68</v>
      </c>
      <c r="R106" s="170">
        <f t="shared" si="1"/>
        <v>2.6470588235294117</v>
      </c>
    </row>
    <row r="107" spans="1:18" hidden="1">
      <c r="A107" s="169" t="s">
        <v>651</v>
      </c>
      <c r="B107" s="169" t="s">
        <v>702</v>
      </c>
      <c r="C107" s="169" t="s">
        <v>649</v>
      </c>
      <c r="D107" s="169">
        <v>862</v>
      </c>
      <c r="E107" s="169">
        <v>5228</v>
      </c>
      <c r="F107" s="169">
        <v>6893</v>
      </c>
      <c r="G107" s="169">
        <v>4608</v>
      </c>
      <c r="H107" s="169">
        <v>2143</v>
      </c>
      <c r="I107" s="169">
        <v>917</v>
      </c>
      <c r="J107" s="169">
        <v>378</v>
      </c>
      <c r="K107" s="169">
        <v>212</v>
      </c>
      <c r="L107" s="169">
        <v>63</v>
      </c>
      <c r="M107" s="169">
        <v>35</v>
      </c>
      <c r="N107" s="169">
        <v>11</v>
      </c>
      <c r="O107" s="169">
        <v>3</v>
      </c>
      <c r="P107" s="169">
        <v>18</v>
      </c>
      <c r="Q107" s="169">
        <v>21370</v>
      </c>
      <c r="R107" s="170">
        <f t="shared" si="1"/>
        <v>2.3830135704258306</v>
      </c>
    </row>
    <row r="108" spans="1:18" hidden="1">
      <c r="A108" s="169" t="s">
        <v>651</v>
      </c>
      <c r="B108" s="169" t="s">
        <v>703</v>
      </c>
      <c r="C108" s="169" t="s">
        <v>653</v>
      </c>
      <c r="D108" s="169">
        <v>0</v>
      </c>
      <c r="E108" s="169">
        <v>4</v>
      </c>
      <c r="F108" s="169">
        <v>10</v>
      </c>
      <c r="G108" s="169">
        <v>3</v>
      </c>
      <c r="H108" s="169">
        <v>2</v>
      </c>
      <c r="I108" s="169">
        <v>0</v>
      </c>
      <c r="J108" s="169">
        <v>0</v>
      </c>
      <c r="K108" s="169">
        <v>0</v>
      </c>
      <c r="L108" s="169">
        <v>0</v>
      </c>
      <c r="M108" s="169">
        <v>0</v>
      </c>
      <c r="N108" s="169">
        <v>0</v>
      </c>
      <c r="O108" s="169">
        <v>0</v>
      </c>
      <c r="P108" s="169">
        <v>0</v>
      </c>
      <c r="Q108" s="169">
        <v>19</v>
      </c>
      <c r="R108" s="170">
        <f t="shared" si="1"/>
        <v>2.1578947368421053</v>
      </c>
    </row>
    <row r="109" spans="1:18" hidden="1">
      <c r="A109" s="169" t="s">
        <v>651</v>
      </c>
      <c r="B109" s="169" t="s">
        <v>703</v>
      </c>
      <c r="C109" s="169" t="s">
        <v>654</v>
      </c>
      <c r="D109" s="169">
        <v>19</v>
      </c>
      <c r="E109" s="169">
        <v>17</v>
      </c>
      <c r="F109" s="169">
        <v>95</v>
      </c>
      <c r="G109" s="169">
        <v>46</v>
      </c>
      <c r="H109" s="169">
        <v>9</v>
      </c>
      <c r="I109" s="169">
        <v>0</v>
      </c>
      <c r="J109" s="169">
        <v>0</v>
      </c>
      <c r="K109" s="169">
        <v>0</v>
      </c>
      <c r="L109" s="169">
        <v>0</v>
      </c>
      <c r="M109" s="169">
        <v>0</v>
      </c>
      <c r="N109" s="169">
        <v>0</v>
      </c>
      <c r="O109" s="169">
        <v>0</v>
      </c>
      <c r="P109" s="169">
        <v>0</v>
      </c>
      <c r="Q109" s="169">
        <v>185</v>
      </c>
      <c r="R109" s="170">
        <f t="shared" si="1"/>
        <v>2.0594594594594593</v>
      </c>
    </row>
    <row r="110" spans="1:18" hidden="1">
      <c r="A110" s="169" t="s">
        <v>651</v>
      </c>
      <c r="B110" s="169" t="s">
        <v>703</v>
      </c>
      <c r="C110" s="169" t="s">
        <v>655</v>
      </c>
      <c r="D110" s="169">
        <v>0</v>
      </c>
      <c r="E110" s="169">
        <v>15</v>
      </c>
      <c r="F110" s="169">
        <v>11</v>
      </c>
      <c r="G110" s="169">
        <v>0</v>
      </c>
      <c r="H110" s="169">
        <v>0</v>
      </c>
      <c r="I110" s="169">
        <v>0</v>
      </c>
      <c r="J110" s="169">
        <v>0</v>
      </c>
      <c r="K110" s="169">
        <v>0</v>
      </c>
      <c r="L110" s="169">
        <v>0</v>
      </c>
      <c r="M110" s="169">
        <v>0</v>
      </c>
      <c r="N110" s="169">
        <v>0</v>
      </c>
      <c r="O110" s="169">
        <v>0</v>
      </c>
      <c r="P110" s="169">
        <v>0</v>
      </c>
      <c r="Q110" s="169">
        <v>26</v>
      </c>
      <c r="R110" s="170">
        <f t="shared" si="1"/>
        <v>1.4230769230769231</v>
      </c>
    </row>
    <row r="111" spans="1:18" hidden="1">
      <c r="A111" s="169" t="s">
        <v>651</v>
      </c>
      <c r="B111" s="169" t="s">
        <v>703</v>
      </c>
      <c r="C111" s="169" t="s">
        <v>656</v>
      </c>
      <c r="D111" s="169">
        <v>31</v>
      </c>
      <c r="E111" s="169">
        <v>232</v>
      </c>
      <c r="F111" s="169">
        <v>238</v>
      </c>
      <c r="G111" s="169">
        <v>142</v>
      </c>
      <c r="H111" s="169">
        <v>30</v>
      </c>
      <c r="I111" s="169">
        <v>22</v>
      </c>
      <c r="J111" s="169">
        <v>5</v>
      </c>
      <c r="K111" s="169">
        <v>0</v>
      </c>
      <c r="L111" s="169">
        <v>0</v>
      </c>
      <c r="M111" s="169">
        <v>0</v>
      </c>
      <c r="N111" s="169">
        <v>0</v>
      </c>
      <c r="O111" s="169">
        <v>0</v>
      </c>
      <c r="P111" s="169">
        <v>0</v>
      </c>
      <c r="Q111" s="169">
        <v>701</v>
      </c>
      <c r="R111" s="170">
        <f t="shared" si="1"/>
        <v>1.9885877318116976</v>
      </c>
    </row>
    <row r="112" spans="1:18" hidden="1">
      <c r="A112" s="169" t="s">
        <v>651</v>
      </c>
      <c r="B112" s="169" t="s">
        <v>703</v>
      </c>
      <c r="C112" s="169" t="s">
        <v>288</v>
      </c>
      <c r="D112" s="169">
        <v>78</v>
      </c>
      <c r="E112" s="169">
        <v>712</v>
      </c>
      <c r="F112" s="169">
        <v>1153</v>
      </c>
      <c r="G112" s="169">
        <v>587</v>
      </c>
      <c r="H112" s="169">
        <v>249</v>
      </c>
      <c r="I112" s="169">
        <v>84</v>
      </c>
      <c r="J112" s="169">
        <v>20</v>
      </c>
      <c r="K112" s="169">
        <v>15</v>
      </c>
      <c r="L112" s="169">
        <v>1</v>
      </c>
      <c r="M112" s="169">
        <v>1</v>
      </c>
      <c r="N112" s="169">
        <v>1</v>
      </c>
      <c r="O112" s="169">
        <v>0</v>
      </c>
      <c r="P112" s="169">
        <v>2</v>
      </c>
      <c r="Q112" s="169">
        <v>2905</v>
      </c>
      <c r="R112" s="170">
        <f t="shared" si="1"/>
        <v>2.2275387263339073</v>
      </c>
    </row>
    <row r="113" spans="1:18" hidden="1">
      <c r="A113" s="169" t="s">
        <v>651</v>
      </c>
      <c r="B113" s="169" t="s">
        <v>703</v>
      </c>
      <c r="C113" s="169" t="s">
        <v>657</v>
      </c>
      <c r="D113" s="169">
        <v>14</v>
      </c>
      <c r="E113" s="169">
        <v>127</v>
      </c>
      <c r="F113" s="169">
        <v>183</v>
      </c>
      <c r="G113" s="169">
        <v>75</v>
      </c>
      <c r="H113" s="169">
        <v>20</v>
      </c>
      <c r="I113" s="169">
        <v>9</v>
      </c>
      <c r="J113" s="169">
        <v>3</v>
      </c>
      <c r="K113" s="169">
        <v>0</v>
      </c>
      <c r="L113" s="169">
        <v>0</v>
      </c>
      <c r="M113" s="169">
        <v>0</v>
      </c>
      <c r="N113" s="169">
        <v>0</v>
      </c>
      <c r="O113" s="169">
        <v>0</v>
      </c>
      <c r="P113" s="169">
        <v>0</v>
      </c>
      <c r="Q113" s="169">
        <v>430</v>
      </c>
      <c r="R113" s="170">
        <f t="shared" si="1"/>
        <v>2.0023255813953487</v>
      </c>
    </row>
    <row r="114" spans="1:18" hidden="1">
      <c r="A114" s="169" t="s">
        <v>651</v>
      </c>
      <c r="B114" s="169" t="s">
        <v>703</v>
      </c>
      <c r="C114" s="169" t="s">
        <v>658</v>
      </c>
      <c r="D114" s="169">
        <v>15</v>
      </c>
      <c r="E114" s="169">
        <v>129</v>
      </c>
      <c r="F114" s="169">
        <v>93</v>
      </c>
      <c r="G114" s="169">
        <v>63</v>
      </c>
      <c r="H114" s="169">
        <v>38</v>
      </c>
      <c r="I114" s="169">
        <v>3</v>
      </c>
      <c r="J114" s="169">
        <v>3</v>
      </c>
      <c r="K114" s="169">
        <v>0</v>
      </c>
      <c r="L114" s="169">
        <v>0</v>
      </c>
      <c r="M114" s="169">
        <v>0</v>
      </c>
      <c r="N114" s="169">
        <v>0</v>
      </c>
      <c r="O114" s="169">
        <v>0</v>
      </c>
      <c r="P114" s="169">
        <v>0</v>
      </c>
      <c r="Q114" s="169">
        <v>343</v>
      </c>
      <c r="R114" s="170">
        <f t="shared" si="1"/>
        <v>2.008746355685131</v>
      </c>
    </row>
    <row r="115" spans="1:18" hidden="1">
      <c r="A115" s="169" t="s">
        <v>651</v>
      </c>
      <c r="B115" s="169" t="s">
        <v>703</v>
      </c>
      <c r="C115" s="169" t="s">
        <v>704</v>
      </c>
      <c r="D115" s="169">
        <v>3</v>
      </c>
      <c r="E115" s="169">
        <v>12</v>
      </c>
      <c r="F115" s="169">
        <v>5</v>
      </c>
      <c r="G115" s="169">
        <v>1</v>
      </c>
      <c r="H115" s="169">
        <v>0</v>
      </c>
      <c r="I115" s="169">
        <v>0</v>
      </c>
      <c r="J115" s="169">
        <v>0</v>
      </c>
      <c r="K115" s="169">
        <v>0</v>
      </c>
      <c r="L115" s="169">
        <v>0</v>
      </c>
      <c r="M115" s="169">
        <v>0</v>
      </c>
      <c r="N115" s="169">
        <v>0</v>
      </c>
      <c r="O115" s="169">
        <v>0</v>
      </c>
      <c r="P115" s="169">
        <v>0</v>
      </c>
      <c r="Q115" s="169">
        <v>20</v>
      </c>
      <c r="R115" s="170">
        <f t="shared" si="1"/>
        <v>1.25</v>
      </c>
    </row>
    <row r="116" spans="1:18" hidden="1">
      <c r="A116" s="169" t="s">
        <v>651</v>
      </c>
      <c r="B116" s="169" t="s">
        <v>703</v>
      </c>
      <c r="C116" s="169" t="s">
        <v>659</v>
      </c>
      <c r="D116" s="169">
        <v>5</v>
      </c>
      <c r="E116" s="169">
        <v>26</v>
      </c>
      <c r="F116" s="169">
        <v>15</v>
      </c>
      <c r="G116" s="169">
        <v>9</v>
      </c>
      <c r="H116" s="169">
        <v>7</v>
      </c>
      <c r="I116" s="169">
        <v>1</v>
      </c>
      <c r="J116" s="169">
        <v>1</v>
      </c>
      <c r="K116" s="169">
        <v>0</v>
      </c>
      <c r="L116" s="169">
        <v>0</v>
      </c>
      <c r="M116" s="169">
        <v>0</v>
      </c>
      <c r="N116" s="169">
        <v>0</v>
      </c>
      <c r="O116" s="169">
        <v>0</v>
      </c>
      <c r="P116" s="169">
        <v>0</v>
      </c>
      <c r="Q116" s="169">
        <v>63</v>
      </c>
      <c r="R116" s="170">
        <f t="shared" si="1"/>
        <v>1.9365079365079365</v>
      </c>
    </row>
    <row r="117" spans="1:18" hidden="1">
      <c r="A117" s="169" t="s">
        <v>651</v>
      </c>
      <c r="B117" s="169" t="s">
        <v>703</v>
      </c>
      <c r="C117" s="169" t="s">
        <v>660</v>
      </c>
      <c r="D117" s="169">
        <v>67</v>
      </c>
      <c r="E117" s="169">
        <v>577</v>
      </c>
      <c r="F117" s="169">
        <v>647</v>
      </c>
      <c r="G117" s="169">
        <v>244</v>
      </c>
      <c r="H117" s="169">
        <v>58</v>
      </c>
      <c r="I117" s="169">
        <v>51</v>
      </c>
      <c r="J117" s="169">
        <v>5</v>
      </c>
      <c r="K117" s="169">
        <v>0</v>
      </c>
      <c r="L117" s="169">
        <v>0</v>
      </c>
      <c r="M117" s="169">
        <v>0</v>
      </c>
      <c r="N117" s="169">
        <v>0</v>
      </c>
      <c r="O117" s="169">
        <v>0</v>
      </c>
      <c r="P117" s="169">
        <v>0</v>
      </c>
      <c r="Q117" s="169">
        <v>1649</v>
      </c>
      <c r="R117" s="170">
        <f t="shared" si="1"/>
        <v>1.8920557913887204</v>
      </c>
    </row>
    <row r="118" spans="1:18" hidden="1">
      <c r="A118" s="169" t="s">
        <v>651</v>
      </c>
      <c r="B118" s="169" t="s">
        <v>703</v>
      </c>
      <c r="C118" s="169" t="s">
        <v>661</v>
      </c>
      <c r="D118" s="169">
        <v>74</v>
      </c>
      <c r="E118" s="169">
        <v>354</v>
      </c>
      <c r="F118" s="169">
        <v>358</v>
      </c>
      <c r="G118" s="169">
        <v>151</v>
      </c>
      <c r="H118" s="169">
        <v>62</v>
      </c>
      <c r="I118" s="169">
        <v>10</v>
      </c>
      <c r="J118" s="169">
        <v>4</v>
      </c>
      <c r="K118" s="169">
        <v>0</v>
      </c>
      <c r="L118" s="169">
        <v>1</v>
      </c>
      <c r="M118" s="169">
        <v>0</v>
      </c>
      <c r="N118" s="169">
        <v>1</v>
      </c>
      <c r="O118" s="169">
        <v>0</v>
      </c>
      <c r="P118" s="169">
        <v>0</v>
      </c>
      <c r="Q118" s="169">
        <v>1015</v>
      </c>
      <c r="R118" s="170">
        <f t="shared" si="1"/>
        <v>1.8354679802955665</v>
      </c>
    </row>
    <row r="119" spans="1:18" hidden="1">
      <c r="A119" s="169" t="s">
        <v>651</v>
      </c>
      <c r="B119" s="169" t="s">
        <v>703</v>
      </c>
      <c r="C119" s="169" t="s">
        <v>662</v>
      </c>
      <c r="D119" s="169">
        <v>1</v>
      </c>
      <c r="E119" s="169">
        <v>16</v>
      </c>
      <c r="F119" s="169">
        <v>26</v>
      </c>
      <c r="G119" s="169">
        <v>12</v>
      </c>
      <c r="H119" s="169">
        <v>8</v>
      </c>
      <c r="I119" s="169">
        <v>0</v>
      </c>
      <c r="J119" s="169">
        <v>0</v>
      </c>
      <c r="K119" s="169">
        <v>0</v>
      </c>
      <c r="L119" s="169">
        <v>0</v>
      </c>
      <c r="M119" s="169">
        <v>0</v>
      </c>
      <c r="N119" s="169">
        <v>0</v>
      </c>
      <c r="O119" s="169">
        <v>0</v>
      </c>
      <c r="P119" s="169">
        <v>0</v>
      </c>
      <c r="Q119" s="169">
        <v>62</v>
      </c>
      <c r="R119" s="170">
        <f t="shared" si="1"/>
        <v>2.193548387096774</v>
      </c>
    </row>
    <row r="120" spans="1:18" hidden="1">
      <c r="A120" s="169" t="s">
        <v>651</v>
      </c>
      <c r="B120" s="169" t="s">
        <v>703</v>
      </c>
      <c r="C120" s="169" t="s">
        <v>663</v>
      </c>
      <c r="D120" s="169">
        <v>3</v>
      </c>
      <c r="E120" s="169">
        <v>57</v>
      </c>
      <c r="F120" s="169">
        <v>57</v>
      </c>
      <c r="G120" s="169">
        <v>25</v>
      </c>
      <c r="H120" s="169">
        <v>4</v>
      </c>
      <c r="I120" s="169">
        <v>1</v>
      </c>
      <c r="J120" s="169">
        <v>0</v>
      </c>
      <c r="K120" s="169">
        <v>0</v>
      </c>
      <c r="L120" s="169">
        <v>0</v>
      </c>
      <c r="M120" s="169">
        <v>0</v>
      </c>
      <c r="N120" s="169">
        <v>0</v>
      </c>
      <c r="O120" s="169">
        <v>0</v>
      </c>
      <c r="P120" s="169">
        <v>0</v>
      </c>
      <c r="Q120" s="169">
        <v>148</v>
      </c>
      <c r="R120" s="170">
        <f t="shared" si="1"/>
        <v>1.8040540540540539</v>
      </c>
    </row>
    <row r="121" spans="1:18" hidden="1">
      <c r="A121" s="169" t="s">
        <v>651</v>
      </c>
      <c r="B121" s="169" t="s">
        <v>703</v>
      </c>
      <c r="C121" s="169" t="s">
        <v>664</v>
      </c>
      <c r="D121" s="169">
        <v>5</v>
      </c>
      <c r="E121" s="169">
        <v>34</v>
      </c>
      <c r="F121" s="169">
        <v>50</v>
      </c>
      <c r="G121" s="169">
        <v>16</v>
      </c>
      <c r="H121" s="169">
        <v>4</v>
      </c>
      <c r="I121" s="169">
        <v>0</v>
      </c>
      <c r="J121" s="169">
        <v>1</v>
      </c>
      <c r="K121" s="169">
        <v>0</v>
      </c>
      <c r="L121" s="169">
        <v>0</v>
      </c>
      <c r="M121" s="169">
        <v>0</v>
      </c>
      <c r="N121" s="169">
        <v>0</v>
      </c>
      <c r="O121" s="169">
        <v>0</v>
      </c>
      <c r="P121" s="169">
        <v>0</v>
      </c>
      <c r="Q121" s="169">
        <v>111</v>
      </c>
      <c r="R121" s="170">
        <f t="shared" si="1"/>
        <v>1.8378378378378379</v>
      </c>
    </row>
    <row r="122" spans="1:18">
      <c r="A122" s="169" t="s">
        <v>651</v>
      </c>
      <c r="B122" s="169" t="s">
        <v>703</v>
      </c>
      <c r="C122" s="169" t="s">
        <v>665</v>
      </c>
      <c r="D122" s="169">
        <v>30</v>
      </c>
      <c r="E122" s="169">
        <v>403</v>
      </c>
      <c r="F122" s="169">
        <v>420</v>
      </c>
      <c r="G122" s="169">
        <v>180</v>
      </c>
      <c r="H122" s="169">
        <v>94</v>
      </c>
      <c r="I122" s="169">
        <v>47</v>
      </c>
      <c r="J122" s="169">
        <v>6</v>
      </c>
      <c r="K122" s="169">
        <v>0</v>
      </c>
      <c r="L122" s="169">
        <v>0</v>
      </c>
      <c r="M122" s="169">
        <v>1</v>
      </c>
      <c r="N122" s="169">
        <v>0</v>
      </c>
      <c r="O122" s="169">
        <v>0</v>
      </c>
      <c r="P122" s="169">
        <v>0</v>
      </c>
      <c r="Q122" s="169">
        <v>1181</v>
      </c>
      <c r="R122" s="170">
        <f t="shared" si="1"/>
        <v>2.0651989839119391</v>
      </c>
    </row>
    <row r="123" spans="1:18" hidden="1">
      <c r="A123" s="169" t="s">
        <v>651</v>
      </c>
      <c r="B123" s="169" t="s">
        <v>703</v>
      </c>
      <c r="C123" s="169" t="s">
        <v>666</v>
      </c>
      <c r="D123" s="169">
        <v>26</v>
      </c>
      <c r="E123" s="169">
        <v>215</v>
      </c>
      <c r="F123" s="169">
        <v>218</v>
      </c>
      <c r="G123" s="169">
        <v>68</v>
      </c>
      <c r="H123" s="169">
        <v>73</v>
      </c>
      <c r="I123" s="169">
        <v>0</v>
      </c>
      <c r="J123" s="169">
        <v>0</v>
      </c>
      <c r="K123" s="169">
        <v>0</v>
      </c>
      <c r="L123" s="169">
        <v>0</v>
      </c>
      <c r="M123" s="169">
        <v>0</v>
      </c>
      <c r="N123" s="169">
        <v>0</v>
      </c>
      <c r="O123" s="169">
        <v>0</v>
      </c>
      <c r="P123" s="169">
        <v>0</v>
      </c>
      <c r="Q123" s="169">
        <v>600</v>
      </c>
      <c r="R123" s="170">
        <f t="shared" si="1"/>
        <v>1.9116666666666666</v>
      </c>
    </row>
    <row r="124" spans="1:18" hidden="1">
      <c r="A124" s="169" t="s">
        <v>651</v>
      </c>
      <c r="B124" s="169" t="s">
        <v>703</v>
      </c>
      <c r="C124" s="169" t="s">
        <v>667</v>
      </c>
      <c r="D124" s="169">
        <v>0</v>
      </c>
      <c r="E124" s="169">
        <v>85</v>
      </c>
      <c r="F124" s="169">
        <v>74</v>
      </c>
      <c r="G124" s="169">
        <v>51</v>
      </c>
      <c r="H124" s="169">
        <v>3</v>
      </c>
      <c r="I124" s="169">
        <v>3</v>
      </c>
      <c r="J124" s="169">
        <v>5</v>
      </c>
      <c r="K124" s="169">
        <v>0</v>
      </c>
      <c r="L124" s="169">
        <v>0</v>
      </c>
      <c r="M124" s="169">
        <v>0</v>
      </c>
      <c r="N124" s="169">
        <v>0</v>
      </c>
      <c r="O124" s="169">
        <v>0</v>
      </c>
      <c r="P124" s="169">
        <v>0</v>
      </c>
      <c r="Q124" s="169">
        <v>219</v>
      </c>
      <c r="R124" s="170">
        <f t="shared" si="1"/>
        <v>2.0228310502283104</v>
      </c>
    </row>
    <row r="125" spans="1:18" hidden="1">
      <c r="A125" s="169" t="s">
        <v>651</v>
      </c>
      <c r="B125" s="169" t="s">
        <v>703</v>
      </c>
      <c r="C125" s="169" t="s">
        <v>668</v>
      </c>
      <c r="D125" s="169">
        <v>24</v>
      </c>
      <c r="E125" s="169">
        <v>77</v>
      </c>
      <c r="F125" s="169">
        <v>108</v>
      </c>
      <c r="G125" s="169">
        <v>25</v>
      </c>
      <c r="H125" s="169">
        <v>10</v>
      </c>
      <c r="I125" s="169">
        <v>5</v>
      </c>
      <c r="J125" s="169">
        <v>0</v>
      </c>
      <c r="K125" s="169">
        <v>0</v>
      </c>
      <c r="L125" s="169">
        <v>0</v>
      </c>
      <c r="M125" s="169">
        <v>0</v>
      </c>
      <c r="N125" s="169">
        <v>0</v>
      </c>
      <c r="O125" s="169">
        <v>0</v>
      </c>
      <c r="P125" s="169">
        <v>0</v>
      </c>
      <c r="Q125" s="169">
        <v>249</v>
      </c>
      <c r="R125" s="170">
        <f t="shared" si="1"/>
        <v>1.7389558232931728</v>
      </c>
    </row>
    <row r="126" spans="1:18" hidden="1">
      <c r="A126" s="169" t="s">
        <v>651</v>
      </c>
      <c r="B126" s="169" t="s">
        <v>703</v>
      </c>
      <c r="C126" s="169" t="s">
        <v>669</v>
      </c>
      <c r="D126" s="169">
        <v>9</v>
      </c>
      <c r="E126" s="169">
        <v>63</v>
      </c>
      <c r="F126" s="169">
        <v>80</v>
      </c>
      <c r="G126" s="169">
        <v>8</v>
      </c>
      <c r="H126" s="169">
        <v>10</v>
      </c>
      <c r="I126" s="169">
        <v>0</v>
      </c>
      <c r="J126" s="169">
        <v>0</v>
      </c>
      <c r="K126" s="169">
        <v>0</v>
      </c>
      <c r="L126" s="169">
        <v>0</v>
      </c>
      <c r="M126" s="169">
        <v>0</v>
      </c>
      <c r="N126" s="169">
        <v>0</v>
      </c>
      <c r="O126" s="169">
        <v>0</v>
      </c>
      <c r="P126" s="169">
        <v>0</v>
      </c>
      <c r="Q126" s="169">
        <v>170</v>
      </c>
      <c r="R126" s="170">
        <f t="shared" si="1"/>
        <v>1.6882352941176471</v>
      </c>
    </row>
    <row r="127" spans="1:18" hidden="1">
      <c r="A127" s="169" t="s">
        <v>651</v>
      </c>
      <c r="B127" s="169" t="s">
        <v>703</v>
      </c>
      <c r="C127" s="169" t="s">
        <v>670</v>
      </c>
      <c r="D127" s="169">
        <v>55</v>
      </c>
      <c r="E127" s="169">
        <v>189</v>
      </c>
      <c r="F127" s="169">
        <v>304</v>
      </c>
      <c r="G127" s="169">
        <v>92</v>
      </c>
      <c r="H127" s="169">
        <v>17</v>
      </c>
      <c r="I127" s="169">
        <v>6</v>
      </c>
      <c r="J127" s="169">
        <v>0</v>
      </c>
      <c r="K127" s="169">
        <v>0</v>
      </c>
      <c r="L127" s="169">
        <v>0</v>
      </c>
      <c r="M127" s="169">
        <v>0</v>
      </c>
      <c r="N127" s="169">
        <v>0</v>
      </c>
      <c r="O127" s="169">
        <v>0</v>
      </c>
      <c r="P127" s="169">
        <v>0</v>
      </c>
      <c r="Q127" s="169">
        <v>664</v>
      </c>
      <c r="R127" s="170">
        <f t="shared" si="1"/>
        <v>1.7635542168674698</v>
      </c>
    </row>
    <row r="128" spans="1:18" hidden="1">
      <c r="A128" s="169" t="s">
        <v>651</v>
      </c>
      <c r="B128" s="169" t="s">
        <v>703</v>
      </c>
      <c r="C128" s="169" t="s">
        <v>671</v>
      </c>
      <c r="D128" s="169">
        <v>46</v>
      </c>
      <c r="E128" s="169">
        <v>235</v>
      </c>
      <c r="F128" s="169">
        <v>276</v>
      </c>
      <c r="G128" s="169">
        <v>101</v>
      </c>
      <c r="H128" s="169">
        <v>44</v>
      </c>
      <c r="I128" s="169">
        <v>16</v>
      </c>
      <c r="J128" s="169">
        <v>0</v>
      </c>
      <c r="K128" s="169">
        <v>1</v>
      </c>
      <c r="L128" s="169">
        <v>0</v>
      </c>
      <c r="M128" s="169">
        <v>0</v>
      </c>
      <c r="N128" s="169">
        <v>2</v>
      </c>
      <c r="O128" s="169">
        <v>0</v>
      </c>
      <c r="P128" s="169">
        <v>0</v>
      </c>
      <c r="Q128" s="169">
        <v>722</v>
      </c>
      <c r="R128" s="170">
        <f t="shared" si="1"/>
        <v>1.9016620498614958</v>
      </c>
    </row>
    <row r="129" spans="1:18" hidden="1">
      <c r="A129" s="169" t="s">
        <v>651</v>
      </c>
      <c r="B129" s="169" t="s">
        <v>703</v>
      </c>
      <c r="C129" s="169" t="s">
        <v>672</v>
      </c>
      <c r="D129" s="169">
        <v>2</v>
      </c>
      <c r="E129" s="169">
        <v>12</v>
      </c>
      <c r="F129" s="169">
        <v>7</v>
      </c>
      <c r="G129" s="169">
        <v>3</v>
      </c>
      <c r="H129" s="169">
        <v>2</v>
      </c>
      <c r="I129" s="169">
        <v>0</v>
      </c>
      <c r="J129" s="169">
        <v>0</v>
      </c>
      <c r="K129" s="169">
        <v>0</v>
      </c>
      <c r="L129" s="169">
        <v>0</v>
      </c>
      <c r="M129" s="169">
        <v>0</v>
      </c>
      <c r="N129" s="169">
        <v>0</v>
      </c>
      <c r="O129" s="169">
        <v>0</v>
      </c>
      <c r="P129" s="169">
        <v>0</v>
      </c>
      <c r="Q129" s="169">
        <v>26</v>
      </c>
      <c r="R129" s="170">
        <f t="shared" si="1"/>
        <v>1.6538461538461537</v>
      </c>
    </row>
    <row r="130" spans="1:18" hidden="1">
      <c r="A130" s="169" t="s">
        <v>651</v>
      </c>
      <c r="B130" s="169" t="s">
        <v>703</v>
      </c>
      <c r="C130" s="169" t="s">
        <v>673</v>
      </c>
      <c r="D130" s="169">
        <v>61</v>
      </c>
      <c r="E130" s="169">
        <v>347</v>
      </c>
      <c r="F130" s="169">
        <v>261</v>
      </c>
      <c r="G130" s="169">
        <v>106</v>
      </c>
      <c r="H130" s="169">
        <v>26</v>
      </c>
      <c r="I130" s="169">
        <v>34</v>
      </c>
      <c r="J130" s="169">
        <v>0</v>
      </c>
      <c r="K130" s="169">
        <v>0</v>
      </c>
      <c r="L130" s="169">
        <v>0</v>
      </c>
      <c r="M130" s="169">
        <v>0</v>
      </c>
      <c r="N130" s="169">
        <v>0</v>
      </c>
      <c r="O130" s="169">
        <v>0</v>
      </c>
      <c r="P130" s="169">
        <v>0</v>
      </c>
      <c r="Q130" s="169">
        <v>835</v>
      </c>
      <c r="R130" s="170">
        <f t="shared" si="1"/>
        <v>1.7497005988023953</v>
      </c>
    </row>
    <row r="131" spans="1:18" hidden="1">
      <c r="A131" s="169" t="s">
        <v>651</v>
      </c>
      <c r="B131" s="169" t="s">
        <v>703</v>
      </c>
      <c r="C131" s="169" t="s">
        <v>674</v>
      </c>
      <c r="D131" s="169">
        <v>59</v>
      </c>
      <c r="E131" s="169">
        <v>209</v>
      </c>
      <c r="F131" s="169">
        <v>255</v>
      </c>
      <c r="G131" s="169">
        <v>114</v>
      </c>
      <c r="H131" s="169">
        <v>37</v>
      </c>
      <c r="I131" s="169">
        <v>10</v>
      </c>
      <c r="J131" s="169">
        <v>0</v>
      </c>
      <c r="K131" s="169">
        <v>5</v>
      </c>
      <c r="L131" s="169">
        <v>0</v>
      </c>
      <c r="M131" s="169">
        <v>0</v>
      </c>
      <c r="N131" s="169">
        <v>0</v>
      </c>
      <c r="O131" s="169">
        <v>0</v>
      </c>
      <c r="P131" s="169">
        <v>0</v>
      </c>
      <c r="Q131" s="169">
        <v>690</v>
      </c>
      <c r="R131" s="170">
        <f t="shared" si="1"/>
        <v>1.8753623188405797</v>
      </c>
    </row>
    <row r="132" spans="1:18" hidden="1">
      <c r="A132" s="169" t="s">
        <v>651</v>
      </c>
      <c r="B132" s="169" t="s">
        <v>703</v>
      </c>
      <c r="C132" s="169" t="s">
        <v>675</v>
      </c>
      <c r="D132" s="169">
        <v>0</v>
      </c>
      <c r="E132" s="169">
        <v>150</v>
      </c>
      <c r="F132" s="169">
        <v>137</v>
      </c>
      <c r="G132" s="169">
        <v>96</v>
      </c>
      <c r="H132" s="169">
        <v>8</v>
      </c>
      <c r="I132" s="169">
        <v>0</v>
      </c>
      <c r="J132" s="169">
        <v>3</v>
      </c>
      <c r="K132" s="169">
        <v>0</v>
      </c>
      <c r="L132" s="169">
        <v>2</v>
      </c>
      <c r="M132" s="169">
        <v>0</v>
      </c>
      <c r="N132" s="169">
        <v>0</v>
      </c>
      <c r="O132" s="169">
        <v>0</v>
      </c>
      <c r="P132" s="169">
        <v>0</v>
      </c>
      <c r="Q132" s="169">
        <v>396</v>
      </c>
      <c r="R132" s="170">
        <f t="shared" si="1"/>
        <v>1.9646464646464648</v>
      </c>
    </row>
    <row r="133" spans="1:18" hidden="1">
      <c r="A133" s="169" t="s">
        <v>651</v>
      </c>
      <c r="B133" s="169" t="s">
        <v>703</v>
      </c>
      <c r="C133" s="169" t="s">
        <v>676</v>
      </c>
      <c r="D133" s="169">
        <v>0</v>
      </c>
      <c r="E133" s="169">
        <v>18</v>
      </c>
      <c r="F133" s="169">
        <v>13</v>
      </c>
      <c r="G133" s="169">
        <v>5</v>
      </c>
      <c r="H133" s="169">
        <v>0</v>
      </c>
      <c r="I133" s="169">
        <v>0</v>
      </c>
      <c r="J133" s="169">
        <v>0</v>
      </c>
      <c r="K133" s="169">
        <v>0</v>
      </c>
      <c r="L133" s="169">
        <v>0</v>
      </c>
      <c r="M133" s="169">
        <v>0</v>
      </c>
      <c r="N133" s="169">
        <v>0</v>
      </c>
      <c r="O133" s="169">
        <v>0</v>
      </c>
      <c r="P133" s="169">
        <v>0</v>
      </c>
      <c r="Q133" s="169">
        <v>36</v>
      </c>
      <c r="R133" s="170">
        <f t="shared" si="1"/>
        <v>1.6388888888888888</v>
      </c>
    </row>
    <row r="134" spans="1:18" hidden="1">
      <c r="A134" s="169" t="s">
        <v>651</v>
      </c>
      <c r="B134" s="169" t="s">
        <v>703</v>
      </c>
      <c r="C134" s="169" t="s">
        <v>677</v>
      </c>
      <c r="D134" s="169">
        <v>0</v>
      </c>
      <c r="E134" s="169">
        <v>14</v>
      </c>
      <c r="F134" s="169">
        <v>7</v>
      </c>
      <c r="G134" s="169">
        <v>2</v>
      </c>
      <c r="H134" s="169">
        <v>4</v>
      </c>
      <c r="I134" s="169">
        <v>4</v>
      </c>
      <c r="J134" s="169">
        <v>0</v>
      </c>
      <c r="K134" s="169">
        <v>0</v>
      </c>
      <c r="L134" s="169">
        <v>0</v>
      </c>
      <c r="M134" s="169">
        <v>0</v>
      </c>
      <c r="N134" s="169">
        <v>0</v>
      </c>
      <c r="O134" s="169">
        <v>0</v>
      </c>
      <c r="P134" s="169">
        <v>0</v>
      </c>
      <c r="Q134" s="169">
        <v>31</v>
      </c>
      <c r="R134" s="170">
        <f t="shared" ref="R134:R197" si="2">SUM(D134*D$5,E134*E$5,F134*F$5,G134*G$5,H134*H$5,I134*I$5,J134*J$5,K134*K$5,L134*L$5,M134*M$5,N134*N$5,O134*O$5,P134*P$5)/Q134</f>
        <v>2.2580645161290325</v>
      </c>
    </row>
    <row r="135" spans="1:18" hidden="1">
      <c r="A135" s="169" t="s">
        <v>651</v>
      </c>
      <c r="B135" s="169" t="s">
        <v>703</v>
      </c>
      <c r="C135" s="169" t="s">
        <v>678</v>
      </c>
      <c r="D135" s="169">
        <v>37</v>
      </c>
      <c r="E135" s="169">
        <v>272</v>
      </c>
      <c r="F135" s="169">
        <v>285</v>
      </c>
      <c r="G135" s="169">
        <v>96</v>
      </c>
      <c r="H135" s="169">
        <v>42</v>
      </c>
      <c r="I135" s="169">
        <v>7</v>
      </c>
      <c r="J135" s="169">
        <v>0</v>
      </c>
      <c r="K135" s="169">
        <v>1</v>
      </c>
      <c r="L135" s="169">
        <v>1</v>
      </c>
      <c r="M135" s="169">
        <v>0</v>
      </c>
      <c r="N135" s="169">
        <v>0</v>
      </c>
      <c r="O135" s="169">
        <v>0</v>
      </c>
      <c r="P135" s="169">
        <v>0</v>
      </c>
      <c r="Q135" s="169">
        <v>742</v>
      </c>
      <c r="R135" s="170">
        <f t="shared" si="2"/>
        <v>1.8167115902964959</v>
      </c>
    </row>
    <row r="136" spans="1:18" hidden="1">
      <c r="A136" s="169" t="s">
        <v>651</v>
      </c>
      <c r="B136" s="169" t="s">
        <v>703</v>
      </c>
      <c r="C136" s="169" t="s">
        <v>679</v>
      </c>
      <c r="D136" s="169">
        <v>0</v>
      </c>
      <c r="E136" s="169">
        <v>18</v>
      </c>
      <c r="F136" s="169">
        <v>6</v>
      </c>
      <c r="G136" s="169">
        <v>3</v>
      </c>
      <c r="H136" s="169">
        <v>4</v>
      </c>
      <c r="I136" s="169">
        <v>0</v>
      </c>
      <c r="J136" s="169">
        <v>1</v>
      </c>
      <c r="K136" s="169">
        <v>0</v>
      </c>
      <c r="L136" s="169">
        <v>0</v>
      </c>
      <c r="M136" s="169">
        <v>0</v>
      </c>
      <c r="N136" s="169">
        <v>0</v>
      </c>
      <c r="O136" s="169">
        <v>0</v>
      </c>
      <c r="P136" s="169">
        <v>0</v>
      </c>
      <c r="Q136" s="169">
        <v>33</v>
      </c>
      <c r="R136" s="170">
        <f t="shared" si="2"/>
        <v>1.8484848484848484</v>
      </c>
    </row>
    <row r="137" spans="1:18" hidden="1">
      <c r="A137" s="169" t="s">
        <v>651</v>
      </c>
      <c r="B137" s="169" t="s">
        <v>703</v>
      </c>
      <c r="C137" s="169" t="s">
        <v>680</v>
      </c>
      <c r="D137" s="169">
        <v>11</v>
      </c>
      <c r="E137" s="169">
        <v>63</v>
      </c>
      <c r="F137" s="169">
        <v>67</v>
      </c>
      <c r="G137" s="169">
        <v>39</v>
      </c>
      <c r="H137" s="169">
        <v>11</v>
      </c>
      <c r="I137" s="169">
        <v>5</v>
      </c>
      <c r="J137" s="169">
        <v>2</v>
      </c>
      <c r="K137" s="169">
        <v>0</v>
      </c>
      <c r="L137" s="169">
        <v>0</v>
      </c>
      <c r="M137" s="169">
        <v>0</v>
      </c>
      <c r="N137" s="169">
        <v>0</v>
      </c>
      <c r="O137" s="169">
        <v>0</v>
      </c>
      <c r="P137" s="169">
        <v>0</v>
      </c>
      <c r="Q137" s="169">
        <v>199</v>
      </c>
      <c r="R137" s="170">
        <f t="shared" si="2"/>
        <v>1.9849246231155779</v>
      </c>
    </row>
    <row r="138" spans="1:18" hidden="1">
      <c r="A138" s="169" t="s">
        <v>651</v>
      </c>
      <c r="B138" s="169" t="s">
        <v>703</v>
      </c>
      <c r="C138" s="169" t="s">
        <v>681</v>
      </c>
      <c r="D138" s="169">
        <v>2</v>
      </c>
      <c r="E138" s="169">
        <v>41</v>
      </c>
      <c r="F138" s="169">
        <v>10</v>
      </c>
      <c r="G138" s="169">
        <v>11</v>
      </c>
      <c r="H138" s="169">
        <v>1</v>
      </c>
      <c r="I138" s="169">
        <v>0</v>
      </c>
      <c r="J138" s="169">
        <v>0</v>
      </c>
      <c r="K138" s="169">
        <v>0</v>
      </c>
      <c r="L138" s="169">
        <v>0</v>
      </c>
      <c r="M138" s="169">
        <v>0</v>
      </c>
      <c r="N138" s="169">
        <v>0</v>
      </c>
      <c r="O138" s="169">
        <v>0</v>
      </c>
      <c r="P138" s="169">
        <v>0</v>
      </c>
      <c r="Q138" s="169">
        <v>66</v>
      </c>
      <c r="R138" s="170">
        <f t="shared" si="2"/>
        <v>1.4848484848484849</v>
      </c>
    </row>
    <row r="139" spans="1:18" hidden="1">
      <c r="A139" s="169" t="s">
        <v>651</v>
      </c>
      <c r="B139" s="169" t="s">
        <v>703</v>
      </c>
      <c r="C139" s="169" t="s">
        <v>682</v>
      </c>
      <c r="D139" s="169">
        <v>30</v>
      </c>
      <c r="E139" s="169">
        <v>426</v>
      </c>
      <c r="F139" s="169">
        <v>445</v>
      </c>
      <c r="G139" s="169">
        <v>185</v>
      </c>
      <c r="H139" s="169">
        <v>44</v>
      </c>
      <c r="I139" s="169">
        <v>36</v>
      </c>
      <c r="J139" s="169">
        <v>0</v>
      </c>
      <c r="K139" s="169">
        <v>0</v>
      </c>
      <c r="L139" s="169">
        <v>0</v>
      </c>
      <c r="M139" s="169">
        <v>0</v>
      </c>
      <c r="N139" s="169">
        <v>0</v>
      </c>
      <c r="O139" s="169">
        <v>0</v>
      </c>
      <c r="P139" s="169">
        <v>0</v>
      </c>
      <c r="Q139" s="169">
        <v>1165</v>
      </c>
      <c r="R139" s="170">
        <f t="shared" si="2"/>
        <v>1.9115879828326181</v>
      </c>
    </row>
    <row r="140" spans="1:18" hidden="1">
      <c r="A140" s="169" t="s">
        <v>651</v>
      </c>
      <c r="B140" s="169" t="s">
        <v>703</v>
      </c>
      <c r="C140" s="169" t="s">
        <v>683</v>
      </c>
      <c r="D140" s="169">
        <v>0</v>
      </c>
      <c r="E140" s="169">
        <v>40</v>
      </c>
      <c r="F140" s="169">
        <v>41</v>
      </c>
      <c r="G140" s="169">
        <v>13</v>
      </c>
      <c r="H140" s="169">
        <v>5</v>
      </c>
      <c r="I140" s="169">
        <v>1</v>
      </c>
      <c r="J140" s="169">
        <v>0</v>
      </c>
      <c r="K140" s="169">
        <v>0</v>
      </c>
      <c r="L140" s="169">
        <v>3</v>
      </c>
      <c r="M140" s="169">
        <v>0</v>
      </c>
      <c r="N140" s="169">
        <v>0</v>
      </c>
      <c r="O140" s="169">
        <v>0</v>
      </c>
      <c r="P140" s="169">
        <v>0</v>
      </c>
      <c r="Q140" s="169">
        <v>104</v>
      </c>
      <c r="R140" s="170">
        <f t="shared" si="2"/>
        <v>2.0192307692307692</v>
      </c>
    </row>
    <row r="141" spans="1:18" hidden="1">
      <c r="A141" s="169" t="s">
        <v>651</v>
      </c>
      <c r="B141" s="169" t="s">
        <v>703</v>
      </c>
      <c r="C141" s="169" t="s">
        <v>684</v>
      </c>
      <c r="D141" s="169">
        <v>5</v>
      </c>
      <c r="E141" s="169">
        <v>66</v>
      </c>
      <c r="F141" s="169">
        <v>74</v>
      </c>
      <c r="G141" s="169">
        <v>33</v>
      </c>
      <c r="H141" s="169">
        <v>22</v>
      </c>
      <c r="I141" s="169">
        <v>0</v>
      </c>
      <c r="J141" s="169">
        <v>4</v>
      </c>
      <c r="K141" s="169">
        <v>0</v>
      </c>
      <c r="L141" s="169">
        <v>0</v>
      </c>
      <c r="M141" s="169">
        <v>0</v>
      </c>
      <c r="N141" s="169">
        <v>0</v>
      </c>
      <c r="O141" s="169">
        <v>0</v>
      </c>
      <c r="P141" s="169">
        <v>0</v>
      </c>
      <c r="Q141" s="169">
        <v>204</v>
      </c>
      <c r="R141" s="170">
        <f t="shared" si="2"/>
        <v>2.0833333333333335</v>
      </c>
    </row>
    <row r="142" spans="1:18" hidden="1">
      <c r="A142" s="169" t="s">
        <v>651</v>
      </c>
      <c r="B142" s="169" t="s">
        <v>703</v>
      </c>
      <c r="C142" s="169" t="s">
        <v>685</v>
      </c>
      <c r="D142" s="169">
        <v>73</v>
      </c>
      <c r="E142" s="169">
        <v>427</v>
      </c>
      <c r="F142" s="169">
        <v>491</v>
      </c>
      <c r="G142" s="169">
        <v>197</v>
      </c>
      <c r="H142" s="169">
        <v>92</v>
      </c>
      <c r="I142" s="169">
        <v>20</v>
      </c>
      <c r="J142" s="169">
        <v>7</v>
      </c>
      <c r="K142" s="169">
        <v>3</v>
      </c>
      <c r="L142" s="169">
        <v>0</v>
      </c>
      <c r="M142" s="169">
        <v>0</v>
      </c>
      <c r="N142" s="169">
        <v>0</v>
      </c>
      <c r="O142" s="169">
        <v>0</v>
      </c>
      <c r="P142" s="169">
        <v>0</v>
      </c>
      <c r="Q142" s="169">
        <v>1310</v>
      </c>
      <c r="R142" s="170">
        <f t="shared" si="2"/>
        <v>1.9320610687022901</v>
      </c>
    </row>
    <row r="143" spans="1:18" hidden="1">
      <c r="A143" s="169" t="s">
        <v>651</v>
      </c>
      <c r="B143" s="169" t="s">
        <v>703</v>
      </c>
      <c r="C143" s="169" t="s">
        <v>686</v>
      </c>
      <c r="D143" s="169">
        <v>41</v>
      </c>
      <c r="E143" s="169">
        <v>577</v>
      </c>
      <c r="F143" s="169">
        <v>505</v>
      </c>
      <c r="G143" s="169">
        <v>196</v>
      </c>
      <c r="H143" s="169">
        <v>60</v>
      </c>
      <c r="I143" s="169">
        <v>11</v>
      </c>
      <c r="J143" s="169">
        <v>4</v>
      </c>
      <c r="K143" s="169">
        <v>4</v>
      </c>
      <c r="L143" s="169">
        <v>0</v>
      </c>
      <c r="M143" s="169">
        <v>0</v>
      </c>
      <c r="N143" s="169">
        <v>0</v>
      </c>
      <c r="O143" s="169">
        <v>0</v>
      </c>
      <c r="P143" s="169">
        <v>0</v>
      </c>
      <c r="Q143" s="169">
        <v>1398</v>
      </c>
      <c r="R143" s="170">
        <f t="shared" si="2"/>
        <v>1.804005722460658</v>
      </c>
    </row>
    <row r="144" spans="1:18" hidden="1">
      <c r="A144" s="169" t="s">
        <v>651</v>
      </c>
      <c r="B144" s="169" t="s">
        <v>703</v>
      </c>
      <c r="C144" s="169" t="s">
        <v>687</v>
      </c>
      <c r="D144" s="169">
        <v>18</v>
      </c>
      <c r="E144" s="169">
        <v>60</v>
      </c>
      <c r="F144" s="169">
        <v>61</v>
      </c>
      <c r="G144" s="169">
        <v>33</v>
      </c>
      <c r="H144" s="169">
        <v>11</v>
      </c>
      <c r="I144" s="169">
        <v>0</v>
      </c>
      <c r="J144" s="169">
        <v>1</v>
      </c>
      <c r="K144" s="169">
        <v>0</v>
      </c>
      <c r="L144" s="169">
        <v>0</v>
      </c>
      <c r="M144" s="169">
        <v>0</v>
      </c>
      <c r="N144" s="169">
        <v>0</v>
      </c>
      <c r="O144" s="169">
        <v>0</v>
      </c>
      <c r="P144" s="169">
        <v>0</v>
      </c>
      <c r="Q144" s="169">
        <v>184</v>
      </c>
      <c r="R144" s="170">
        <f t="shared" si="2"/>
        <v>1.798913043478261</v>
      </c>
    </row>
    <row r="145" spans="1:18" hidden="1">
      <c r="A145" s="169" t="s">
        <v>651</v>
      </c>
      <c r="B145" s="169" t="s">
        <v>703</v>
      </c>
      <c r="C145" s="169" t="s">
        <v>688</v>
      </c>
      <c r="D145" s="169">
        <v>19</v>
      </c>
      <c r="E145" s="169">
        <v>94</v>
      </c>
      <c r="F145" s="169">
        <v>113</v>
      </c>
      <c r="G145" s="169">
        <v>79</v>
      </c>
      <c r="H145" s="169">
        <v>15</v>
      </c>
      <c r="I145" s="169">
        <v>7</v>
      </c>
      <c r="J145" s="169">
        <v>0</v>
      </c>
      <c r="K145" s="169">
        <v>0</v>
      </c>
      <c r="L145" s="169">
        <v>0</v>
      </c>
      <c r="M145" s="169">
        <v>0</v>
      </c>
      <c r="N145" s="169">
        <v>0</v>
      </c>
      <c r="O145" s="169">
        <v>0</v>
      </c>
      <c r="P145" s="169">
        <v>0</v>
      </c>
      <c r="Q145" s="169">
        <v>327</v>
      </c>
      <c r="R145" s="170">
        <f t="shared" si="2"/>
        <v>1.9938837920489296</v>
      </c>
    </row>
    <row r="146" spans="1:18" hidden="1">
      <c r="A146" s="169" t="s">
        <v>651</v>
      </c>
      <c r="B146" s="169" t="s">
        <v>703</v>
      </c>
      <c r="C146" s="169" t="s">
        <v>689</v>
      </c>
      <c r="D146" s="169">
        <v>48</v>
      </c>
      <c r="E146" s="169">
        <v>433</v>
      </c>
      <c r="F146" s="169">
        <v>408</v>
      </c>
      <c r="G146" s="169">
        <v>202</v>
      </c>
      <c r="H146" s="169">
        <v>64</v>
      </c>
      <c r="I146" s="169">
        <v>20</v>
      </c>
      <c r="J146" s="169">
        <v>3</v>
      </c>
      <c r="K146" s="169">
        <v>0</v>
      </c>
      <c r="L146" s="169">
        <v>0</v>
      </c>
      <c r="M146" s="169">
        <v>0</v>
      </c>
      <c r="N146" s="169">
        <v>0</v>
      </c>
      <c r="O146" s="169">
        <v>0</v>
      </c>
      <c r="P146" s="169">
        <v>0</v>
      </c>
      <c r="Q146" s="169">
        <v>1178</v>
      </c>
      <c r="R146" s="170">
        <f t="shared" si="2"/>
        <v>1.8921901528013583</v>
      </c>
    </row>
    <row r="147" spans="1:18" hidden="1">
      <c r="A147" s="169" t="s">
        <v>651</v>
      </c>
      <c r="B147" s="169" t="s">
        <v>703</v>
      </c>
      <c r="C147" s="169" t="s">
        <v>690</v>
      </c>
      <c r="D147" s="169">
        <v>0</v>
      </c>
      <c r="E147" s="169">
        <v>65</v>
      </c>
      <c r="F147" s="169">
        <v>57</v>
      </c>
      <c r="G147" s="169">
        <v>9</v>
      </c>
      <c r="H147" s="169">
        <v>6</v>
      </c>
      <c r="I147" s="169">
        <v>0</v>
      </c>
      <c r="J147" s="169">
        <v>0</v>
      </c>
      <c r="K147" s="169">
        <v>0</v>
      </c>
      <c r="L147" s="169">
        <v>0</v>
      </c>
      <c r="M147" s="169">
        <v>0</v>
      </c>
      <c r="N147" s="169">
        <v>0</v>
      </c>
      <c r="O147" s="169">
        <v>0</v>
      </c>
      <c r="P147" s="169">
        <v>0</v>
      </c>
      <c r="Q147" s="169">
        <v>137</v>
      </c>
      <c r="R147" s="170">
        <f t="shared" si="2"/>
        <v>1.6788321167883211</v>
      </c>
    </row>
    <row r="148" spans="1:18" hidden="1">
      <c r="A148" s="169" t="s">
        <v>651</v>
      </c>
      <c r="B148" s="169" t="s">
        <v>703</v>
      </c>
      <c r="C148" s="169" t="s">
        <v>691</v>
      </c>
      <c r="D148" s="169">
        <v>15</v>
      </c>
      <c r="E148" s="169">
        <v>128</v>
      </c>
      <c r="F148" s="169">
        <v>109</v>
      </c>
      <c r="G148" s="169">
        <v>56</v>
      </c>
      <c r="H148" s="169">
        <v>19</v>
      </c>
      <c r="I148" s="169">
        <v>5</v>
      </c>
      <c r="J148" s="169">
        <v>1</v>
      </c>
      <c r="K148" s="169">
        <v>0</v>
      </c>
      <c r="L148" s="169">
        <v>0</v>
      </c>
      <c r="M148" s="169">
        <v>0</v>
      </c>
      <c r="N148" s="169">
        <v>0</v>
      </c>
      <c r="O148" s="169">
        <v>0</v>
      </c>
      <c r="P148" s="169">
        <v>0</v>
      </c>
      <c r="Q148" s="169">
        <v>333</v>
      </c>
      <c r="R148" s="170">
        <f t="shared" si="2"/>
        <v>1.8648648648648649</v>
      </c>
    </row>
    <row r="149" spans="1:18" hidden="1">
      <c r="A149" s="169" t="s">
        <v>651</v>
      </c>
      <c r="B149" s="169" t="s">
        <v>703</v>
      </c>
      <c r="C149" s="169" t="s">
        <v>692</v>
      </c>
      <c r="D149" s="169">
        <v>2</v>
      </c>
      <c r="E149" s="169">
        <v>16</v>
      </c>
      <c r="F149" s="169">
        <v>4</v>
      </c>
      <c r="G149" s="169">
        <v>12</v>
      </c>
      <c r="H149" s="169">
        <v>0</v>
      </c>
      <c r="I149" s="169">
        <v>0</v>
      </c>
      <c r="J149" s="169">
        <v>0</v>
      </c>
      <c r="K149" s="169">
        <v>0</v>
      </c>
      <c r="L149" s="169">
        <v>1</v>
      </c>
      <c r="M149" s="169">
        <v>0</v>
      </c>
      <c r="N149" s="169">
        <v>0</v>
      </c>
      <c r="O149" s="169">
        <v>0</v>
      </c>
      <c r="P149" s="169">
        <v>0</v>
      </c>
      <c r="Q149" s="169">
        <v>35</v>
      </c>
      <c r="R149" s="170">
        <f t="shared" si="2"/>
        <v>1.9428571428571428</v>
      </c>
    </row>
    <row r="150" spans="1:18" hidden="1">
      <c r="A150" s="169" t="s">
        <v>651</v>
      </c>
      <c r="B150" s="169" t="s">
        <v>703</v>
      </c>
      <c r="C150" s="169" t="s">
        <v>693</v>
      </c>
      <c r="D150" s="169">
        <v>13</v>
      </c>
      <c r="E150" s="169">
        <v>135</v>
      </c>
      <c r="F150" s="169">
        <v>119</v>
      </c>
      <c r="G150" s="169">
        <v>51</v>
      </c>
      <c r="H150" s="169">
        <v>16</v>
      </c>
      <c r="I150" s="169">
        <v>23</v>
      </c>
      <c r="J150" s="169">
        <v>0</v>
      </c>
      <c r="K150" s="169">
        <v>0</v>
      </c>
      <c r="L150" s="169">
        <v>0</v>
      </c>
      <c r="M150" s="169">
        <v>0</v>
      </c>
      <c r="N150" s="169">
        <v>0</v>
      </c>
      <c r="O150" s="169">
        <v>0</v>
      </c>
      <c r="P150" s="169">
        <v>0</v>
      </c>
      <c r="Q150" s="169">
        <v>358</v>
      </c>
      <c r="R150" s="170">
        <f t="shared" si="2"/>
        <v>1.9692737430167597</v>
      </c>
    </row>
    <row r="151" spans="1:18" hidden="1">
      <c r="A151" s="169" t="s">
        <v>651</v>
      </c>
      <c r="B151" s="169" t="s">
        <v>703</v>
      </c>
      <c r="C151" s="169" t="s">
        <v>694</v>
      </c>
      <c r="D151" s="169">
        <v>122</v>
      </c>
      <c r="E151" s="169">
        <v>875</v>
      </c>
      <c r="F151" s="169">
        <v>1101</v>
      </c>
      <c r="G151" s="169">
        <v>484</v>
      </c>
      <c r="H151" s="169">
        <v>176</v>
      </c>
      <c r="I151" s="169">
        <v>37</v>
      </c>
      <c r="J151" s="169">
        <v>16</v>
      </c>
      <c r="K151" s="169">
        <v>6</v>
      </c>
      <c r="L151" s="169">
        <v>1</v>
      </c>
      <c r="M151" s="169">
        <v>0</v>
      </c>
      <c r="N151" s="169">
        <v>0</v>
      </c>
      <c r="O151" s="169">
        <v>0</v>
      </c>
      <c r="P151" s="169">
        <v>0</v>
      </c>
      <c r="Q151" s="169">
        <v>2818</v>
      </c>
      <c r="R151" s="170">
        <f t="shared" si="2"/>
        <v>1.9744499645138396</v>
      </c>
    </row>
    <row r="152" spans="1:18" hidden="1">
      <c r="A152" s="169" t="s">
        <v>651</v>
      </c>
      <c r="B152" s="169" t="s">
        <v>703</v>
      </c>
      <c r="C152" s="169" t="s">
        <v>695</v>
      </c>
      <c r="D152" s="169">
        <v>10</v>
      </c>
      <c r="E152" s="169">
        <v>22</v>
      </c>
      <c r="F152" s="169">
        <v>116</v>
      </c>
      <c r="G152" s="169">
        <v>43</v>
      </c>
      <c r="H152" s="169">
        <v>20</v>
      </c>
      <c r="I152" s="169">
        <v>0</v>
      </c>
      <c r="J152" s="169">
        <v>4</v>
      </c>
      <c r="K152" s="169">
        <v>0</v>
      </c>
      <c r="L152" s="169">
        <v>0</v>
      </c>
      <c r="M152" s="169">
        <v>0</v>
      </c>
      <c r="N152" s="169">
        <v>0</v>
      </c>
      <c r="O152" s="169">
        <v>0</v>
      </c>
      <c r="P152" s="169">
        <v>0</v>
      </c>
      <c r="Q152" s="169">
        <v>215</v>
      </c>
      <c r="R152" s="170">
        <f t="shared" si="2"/>
        <v>2.2651162790697676</v>
      </c>
    </row>
    <row r="153" spans="1:18" hidden="1">
      <c r="A153" s="169" t="s">
        <v>651</v>
      </c>
      <c r="B153" s="169" t="s">
        <v>703</v>
      </c>
      <c r="C153" s="169" t="s">
        <v>696</v>
      </c>
      <c r="D153" s="169">
        <v>18</v>
      </c>
      <c r="E153" s="169">
        <v>159</v>
      </c>
      <c r="F153" s="169">
        <v>311</v>
      </c>
      <c r="G153" s="169">
        <v>144</v>
      </c>
      <c r="H153" s="169">
        <v>57</v>
      </c>
      <c r="I153" s="169">
        <v>28</v>
      </c>
      <c r="J153" s="169">
        <v>3</v>
      </c>
      <c r="K153" s="169">
        <v>0</v>
      </c>
      <c r="L153" s="169">
        <v>0</v>
      </c>
      <c r="M153" s="169">
        <v>5</v>
      </c>
      <c r="N153" s="169">
        <v>0</v>
      </c>
      <c r="O153" s="169">
        <v>0</v>
      </c>
      <c r="P153" s="169">
        <v>0</v>
      </c>
      <c r="Q153" s="169">
        <v>725</v>
      </c>
      <c r="R153" s="170">
        <f t="shared" si="2"/>
        <v>2.2675862068965515</v>
      </c>
    </row>
    <row r="154" spans="1:18" hidden="1">
      <c r="A154" s="169" t="s">
        <v>651</v>
      </c>
      <c r="B154" s="169" t="s">
        <v>703</v>
      </c>
      <c r="C154" s="169" t="s">
        <v>697</v>
      </c>
      <c r="D154" s="169">
        <v>0</v>
      </c>
      <c r="E154" s="169">
        <v>9</v>
      </c>
      <c r="F154" s="169">
        <v>12</v>
      </c>
      <c r="G154" s="169">
        <v>6</v>
      </c>
      <c r="H154" s="169">
        <v>0</v>
      </c>
      <c r="I154" s="169">
        <v>0</v>
      </c>
      <c r="J154" s="169">
        <v>0</v>
      </c>
      <c r="K154" s="169">
        <v>0</v>
      </c>
      <c r="L154" s="169">
        <v>0</v>
      </c>
      <c r="M154" s="169">
        <v>0</v>
      </c>
      <c r="N154" s="169">
        <v>0</v>
      </c>
      <c r="O154" s="169">
        <v>0</v>
      </c>
      <c r="P154" s="169">
        <v>0</v>
      </c>
      <c r="Q154" s="169">
        <v>27</v>
      </c>
      <c r="R154" s="170">
        <f t="shared" si="2"/>
        <v>1.8888888888888888</v>
      </c>
    </row>
    <row r="155" spans="1:18" hidden="1">
      <c r="A155" s="169" t="s">
        <v>651</v>
      </c>
      <c r="B155" s="169" t="s">
        <v>703</v>
      </c>
      <c r="C155" s="169" t="s">
        <v>698</v>
      </c>
      <c r="D155" s="169">
        <v>0</v>
      </c>
      <c r="E155" s="169">
        <v>257</v>
      </c>
      <c r="F155" s="169">
        <v>279</v>
      </c>
      <c r="G155" s="169">
        <v>142</v>
      </c>
      <c r="H155" s="169">
        <v>38</v>
      </c>
      <c r="I155" s="169">
        <v>18</v>
      </c>
      <c r="J155" s="169">
        <v>7</v>
      </c>
      <c r="K155" s="169">
        <v>0</v>
      </c>
      <c r="L155" s="169">
        <v>0</v>
      </c>
      <c r="M155" s="169">
        <v>0</v>
      </c>
      <c r="N155" s="169">
        <v>0</v>
      </c>
      <c r="O155" s="169">
        <v>0</v>
      </c>
      <c r="P155" s="169">
        <v>0</v>
      </c>
      <c r="Q155" s="169">
        <v>740</v>
      </c>
      <c r="R155" s="170">
        <f t="shared" si="2"/>
        <v>2.060810810810811</v>
      </c>
    </row>
    <row r="156" spans="1:18" hidden="1">
      <c r="A156" s="169" t="s">
        <v>651</v>
      </c>
      <c r="B156" s="169" t="s">
        <v>703</v>
      </c>
      <c r="C156" s="169" t="s">
        <v>699</v>
      </c>
      <c r="D156" s="169">
        <v>20</v>
      </c>
      <c r="E156" s="169">
        <v>161</v>
      </c>
      <c r="F156" s="169">
        <v>162</v>
      </c>
      <c r="G156" s="169">
        <v>54</v>
      </c>
      <c r="H156" s="169">
        <v>22</v>
      </c>
      <c r="I156" s="169">
        <v>6</v>
      </c>
      <c r="J156" s="169">
        <v>2</v>
      </c>
      <c r="K156" s="169">
        <v>0</v>
      </c>
      <c r="L156" s="169">
        <v>0</v>
      </c>
      <c r="M156" s="169">
        <v>0</v>
      </c>
      <c r="N156" s="169">
        <v>0</v>
      </c>
      <c r="O156" s="169">
        <v>0</v>
      </c>
      <c r="P156" s="169">
        <v>0</v>
      </c>
      <c r="Q156" s="169">
        <v>429</v>
      </c>
      <c r="R156" s="170">
        <f t="shared" si="2"/>
        <v>1.8111888111888113</v>
      </c>
    </row>
    <row r="157" spans="1:18" hidden="1">
      <c r="A157" s="169" t="s">
        <v>651</v>
      </c>
      <c r="B157" s="169" t="s">
        <v>703</v>
      </c>
      <c r="C157" s="169" t="s">
        <v>700</v>
      </c>
      <c r="D157" s="169">
        <v>0</v>
      </c>
      <c r="E157" s="169">
        <v>8</v>
      </c>
      <c r="F157" s="169">
        <v>13</v>
      </c>
      <c r="G157" s="169">
        <v>0</v>
      </c>
      <c r="H157" s="169">
        <v>0</v>
      </c>
      <c r="I157" s="169">
        <v>0</v>
      </c>
      <c r="J157" s="169">
        <v>0</v>
      </c>
      <c r="K157" s="169">
        <v>0</v>
      </c>
      <c r="L157" s="169">
        <v>0</v>
      </c>
      <c r="M157" s="169">
        <v>0</v>
      </c>
      <c r="N157" s="169">
        <v>0</v>
      </c>
      <c r="O157" s="169">
        <v>0</v>
      </c>
      <c r="P157" s="169">
        <v>0</v>
      </c>
      <c r="Q157" s="169">
        <v>22</v>
      </c>
      <c r="R157" s="170">
        <f t="shared" si="2"/>
        <v>1.5454545454545454</v>
      </c>
    </row>
    <row r="158" spans="1:18" hidden="1">
      <c r="A158" s="169" t="s">
        <v>651</v>
      </c>
      <c r="B158" s="169" t="s">
        <v>703</v>
      </c>
      <c r="C158" s="169" t="s">
        <v>701</v>
      </c>
      <c r="D158" s="169">
        <v>0</v>
      </c>
      <c r="E158" s="169">
        <v>2</v>
      </c>
      <c r="F158" s="169">
        <v>1</v>
      </c>
      <c r="G158" s="169">
        <v>0</v>
      </c>
      <c r="H158" s="169">
        <v>1</v>
      </c>
      <c r="I158" s="169">
        <v>2</v>
      </c>
      <c r="J158" s="169">
        <v>0</v>
      </c>
      <c r="K158" s="169">
        <v>0</v>
      </c>
      <c r="L158" s="169">
        <v>0</v>
      </c>
      <c r="M158" s="169">
        <v>0</v>
      </c>
      <c r="N158" s="169">
        <v>0</v>
      </c>
      <c r="O158" s="169">
        <v>0</v>
      </c>
      <c r="P158" s="169">
        <v>0</v>
      </c>
      <c r="Q158" s="169">
        <v>7</v>
      </c>
      <c r="R158" s="170">
        <f t="shared" si="2"/>
        <v>2.5714285714285716</v>
      </c>
    </row>
    <row r="159" spans="1:18" hidden="1">
      <c r="A159" s="169" t="s">
        <v>651</v>
      </c>
      <c r="B159" s="169" t="s">
        <v>703</v>
      </c>
      <c r="C159" s="169" t="s">
        <v>649</v>
      </c>
      <c r="D159" s="169">
        <v>1109</v>
      </c>
      <c r="E159" s="169">
        <v>8684</v>
      </c>
      <c r="F159" s="169">
        <v>9894</v>
      </c>
      <c r="G159" s="169">
        <v>4317</v>
      </c>
      <c r="H159" s="169">
        <v>1538</v>
      </c>
      <c r="I159" s="169">
        <v>533</v>
      </c>
      <c r="J159" s="169">
        <v>112</v>
      </c>
      <c r="K159" s="169">
        <v>36</v>
      </c>
      <c r="L159" s="169">
        <v>10</v>
      </c>
      <c r="M159" s="169">
        <v>9</v>
      </c>
      <c r="N159" s="169">
        <v>4</v>
      </c>
      <c r="O159" s="169">
        <v>0</v>
      </c>
      <c r="P159" s="169">
        <v>3</v>
      </c>
      <c r="Q159" s="169">
        <v>26250</v>
      </c>
      <c r="R159" s="170">
        <f t="shared" si="2"/>
        <v>1.9581333333333333</v>
      </c>
    </row>
    <row r="160" spans="1:18" hidden="1">
      <c r="A160" s="169" t="s">
        <v>651</v>
      </c>
      <c r="B160" s="169" t="s">
        <v>705</v>
      </c>
      <c r="C160" s="169" t="s">
        <v>653</v>
      </c>
      <c r="D160" s="169">
        <v>10</v>
      </c>
      <c r="E160" s="169">
        <v>17</v>
      </c>
      <c r="F160" s="169">
        <v>18</v>
      </c>
      <c r="G160" s="169">
        <v>9</v>
      </c>
      <c r="H160" s="169">
        <v>2</v>
      </c>
      <c r="I160" s="169">
        <v>1</v>
      </c>
      <c r="J160" s="169">
        <v>2</v>
      </c>
      <c r="K160" s="169">
        <v>0</v>
      </c>
      <c r="L160" s="169">
        <v>0</v>
      </c>
      <c r="M160" s="169">
        <v>0</v>
      </c>
      <c r="N160" s="169">
        <v>0</v>
      </c>
      <c r="O160" s="169">
        <v>0</v>
      </c>
      <c r="P160" s="169">
        <v>0</v>
      </c>
      <c r="Q160" s="169">
        <v>59</v>
      </c>
      <c r="R160" s="170">
        <f t="shared" si="2"/>
        <v>1.7796610169491525</v>
      </c>
    </row>
    <row r="161" spans="1:18" hidden="1">
      <c r="A161" s="169" t="s">
        <v>651</v>
      </c>
      <c r="B161" s="169" t="s">
        <v>705</v>
      </c>
      <c r="C161" s="169" t="s">
        <v>654</v>
      </c>
      <c r="D161" s="169">
        <v>12</v>
      </c>
      <c r="E161" s="169">
        <v>232</v>
      </c>
      <c r="F161" s="169">
        <v>201</v>
      </c>
      <c r="G161" s="169">
        <v>99</v>
      </c>
      <c r="H161" s="169">
        <v>31</v>
      </c>
      <c r="I161" s="169">
        <v>8</v>
      </c>
      <c r="J161" s="169">
        <v>13</v>
      </c>
      <c r="K161" s="169">
        <v>4</v>
      </c>
      <c r="L161" s="169">
        <v>0</v>
      </c>
      <c r="M161" s="169">
        <v>0</v>
      </c>
      <c r="N161" s="169">
        <v>0</v>
      </c>
      <c r="O161" s="169">
        <v>0</v>
      </c>
      <c r="P161" s="169">
        <v>0</v>
      </c>
      <c r="Q161" s="169">
        <v>599</v>
      </c>
      <c r="R161" s="170">
        <f t="shared" si="2"/>
        <v>2.005008347245409</v>
      </c>
    </row>
    <row r="162" spans="1:18" hidden="1">
      <c r="A162" s="169" t="s">
        <v>651</v>
      </c>
      <c r="B162" s="169" t="s">
        <v>705</v>
      </c>
      <c r="C162" s="169" t="s">
        <v>655</v>
      </c>
      <c r="D162" s="169">
        <v>8</v>
      </c>
      <c r="E162" s="169">
        <v>147</v>
      </c>
      <c r="F162" s="169">
        <v>146</v>
      </c>
      <c r="G162" s="169">
        <v>102</v>
      </c>
      <c r="H162" s="169">
        <v>32</v>
      </c>
      <c r="I162" s="169">
        <v>0</v>
      </c>
      <c r="J162" s="169">
        <v>0</v>
      </c>
      <c r="K162" s="169">
        <v>0</v>
      </c>
      <c r="L162" s="169">
        <v>0</v>
      </c>
      <c r="M162" s="169">
        <v>0</v>
      </c>
      <c r="N162" s="169">
        <v>0</v>
      </c>
      <c r="O162" s="169">
        <v>0</v>
      </c>
      <c r="P162" s="169">
        <v>0</v>
      </c>
      <c r="Q162" s="169">
        <v>435</v>
      </c>
      <c r="R162" s="170">
        <f t="shared" si="2"/>
        <v>2.0068965517241377</v>
      </c>
    </row>
    <row r="163" spans="1:18" hidden="1">
      <c r="A163" s="169" t="s">
        <v>651</v>
      </c>
      <c r="B163" s="169" t="s">
        <v>705</v>
      </c>
      <c r="C163" s="169" t="s">
        <v>656</v>
      </c>
      <c r="D163" s="169">
        <v>9</v>
      </c>
      <c r="E163" s="169">
        <v>113</v>
      </c>
      <c r="F163" s="169">
        <v>155</v>
      </c>
      <c r="G163" s="169">
        <v>77</v>
      </c>
      <c r="H163" s="169">
        <v>23</v>
      </c>
      <c r="I163" s="169">
        <v>18</v>
      </c>
      <c r="J163" s="169">
        <v>4</v>
      </c>
      <c r="K163" s="169">
        <v>0</v>
      </c>
      <c r="L163" s="169">
        <v>2</v>
      </c>
      <c r="M163" s="169">
        <v>0</v>
      </c>
      <c r="N163" s="169">
        <v>0</v>
      </c>
      <c r="O163" s="169">
        <v>0</v>
      </c>
      <c r="P163" s="169">
        <v>0</v>
      </c>
      <c r="Q163" s="169">
        <v>401</v>
      </c>
      <c r="R163" s="170">
        <f t="shared" si="2"/>
        <v>2.1845386533665834</v>
      </c>
    </row>
    <row r="164" spans="1:18" hidden="1">
      <c r="A164" s="169" t="s">
        <v>651</v>
      </c>
      <c r="B164" s="169" t="s">
        <v>705</v>
      </c>
      <c r="C164" s="169" t="s">
        <v>288</v>
      </c>
      <c r="D164" s="169">
        <v>40</v>
      </c>
      <c r="E164" s="169">
        <v>225</v>
      </c>
      <c r="F164" s="169">
        <v>328</v>
      </c>
      <c r="G164" s="169">
        <v>188</v>
      </c>
      <c r="H164" s="169">
        <v>84</v>
      </c>
      <c r="I164" s="169">
        <v>27</v>
      </c>
      <c r="J164" s="169">
        <v>12</v>
      </c>
      <c r="K164" s="169">
        <v>4</v>
      </c>
      <c r="L164" s="169">
        <v>1</v>
      </c>
      <c r="M164" s="169">
        <v>1</v>
      </c>
      <c r="N164" s="169">
        <v>0</v>
      </c>
      <c r="O164" s="169">
        <v>0</v>
      </c>
      <c r="P164" s="169">
        <v>0</v>
      </c>
      <c r="Q164" s="169">
        <v>910</v>
      </c>
      <c r="R164" s="170">
        <f t="shared" si="2"/>
        <v>2.2340659340659341</v>
      </c>
    </row>
    <row r="165" spans="1:18" hidden="1">
      <c r="A165" s="169" t="s">
        <v>651</v>
      </c>
      <c r="B165" s="169" t="s">
        <v>705</v>
      </c>
      <c r="C165" s="169" t="s">
        <v>657</v>
      </c>
      <c r="D165" s="169">
        <v>0</v>
      </c>
      <c r="E165" s="169">
        <v>60</v>
      </c>
      <c r="F165" s="169">
        <v>102</v>
      </c>
      <c r="G165" s="169">
        <v>91</v>
      </c>
      <c r="H165" s="169">
        <v>16</v>
      </c>
      <c r="I165" s="169">
        <v>8</v>
      </c>
      <c r="J165" s="169">
        <v>0</v>
      </c>
      <c r="K165" s="169">
        <v>0</v>
      </c>
      <c r="L165" s="169">
        <v>0</v>
      </c>
      <c r="M165" s="169">
        <v>0</v>
      </c>
      <c r="N165" s="169">
        <v>0</v>
      </c>
      <c r="O165" s="169">
        <v>0</v>
      </c>
      <c r="P165" s="169">
        <v>0</v>
      </c>
      <c r="Q165" s="169">
        <v>278</v>
      </c>
      <c r="R165" s="170">
        <f t="shared" si="2"/>
        <v>2.3057553956834531</v>
      </c>
    </row>
    <row r="166" spans="1:18" hidden="1">
      <c r="A166" s="169" t="s">
        <v>651</v>
      </c>
      <c r="B166" s="169" t="s">
        <v>705</v>
      </c>
      <c r="C166" s="169" t="s">
        <v>658</v>
      </c>
      <c r="D166" s="169">
        <v>0</v>
      </c>
      <c r="E166" s="169">
        <v>80</v>
      </c>
      <c r="F166" s="169">
        <v>148</v>
      </c>
      <c r="G166" s="169">
        <v>54</v>
      </c>
      <c r="H166" s="169">
        <v>39</v>
      </c>
      <c r="I166" s="169">
        <v>15</v>
      </c>
      <c r="J166" s="169">
        <v>0</v>
      </c>
      <c r="K166" s="169">
        <v>0</v>
      </c>
      <c r="L166" s="169">
        <v>0</v>
      </c>
      <c r="M166" s="169">
        <v>0</v>
      </c>
      <c r="N166" s="169">
        <v>0</v>
      </c>
      <c r="O166" s="169">
        <v>0</v>
      </c>
      <c r="P166" s="169">
        <v>5</v>
      </c>
      <c r="Q166" s="169">
        <v>341</v>
      </c>
      <c r="R166" s="170">
        <f t="shared" si="2"/>
        <v>2.4310850439882699</v>
      </c>
    </row>
    <row r="167" spans="1:18" hidden="1">
      <c r="A167" s="169" t="s">
        <v>651</v>
      </c>
      <c r="B167" s="169" t="s">
        <v>705</v>
      </c>
      <c r="C167" s="169" t="s">
        <v>659</v>
      </c>
      <c r="D167" s="169">
        <v>4</v>
      </c>
      <c r="E167" s="169">
        <v>43</v>
      </c>
      <c r="F167" s="169">
        <v>32</v>
      </c>
      <c r="G167" s="169">
        <v>17</v>
      </c>
      <c r="H167" s="169">
        <v>5</v>
      </c>
      <c r="I167" s="169">
        <v>10</v>
      </c>
      <c r="J167" s="169">
        <v>0</v>
      </c>
      <c r="K167" s="169">
        <v>0</v>
      </c>
      <c r="L167" s="169">
        <v>0</v>
      </c>
      <c r="M167" s="169">
        <v>0</v>
      </c>
      <c r="N167" s="169">
        <v>0</v>
      </c>
      <c r="O167" s="169">
        <v>0</v>
      </c>
      <c r="P167" s="169">
        <v>0</v>
      </c>
      <c r="Q167" s="169">
        <v>112</v>
      </c>
      <c r="R167" s="170">
        <f t="shared" si="2"/>
        <v>2.0357142857142856</v>
      </c>
    </row>
    <row r="168" spans="1:18" hidden="1">
      <c r="A168" s="169" t="s">
        <v>651</v>
      </c>
      <c r="B168" s="169" t="s">
        <v>705</v>
      </c>
      <c r="C168" s="169" t="s">
        <v>660</v>
      </c>
      <c r="D168" s="169">
        <v>8</v>
      </c>
      <c r="E168" s="169">
        <v>435</v>
      </c>
      <c r="F168" s="169">
        <v>533</v>
      </c>
      <c r="G168" s="169">
        <v>255</v>
      </c>
      <c r="H168" s="169">
        <v>60</v>
      </c>
      <c r="I168" s="169">
        <v>31</v>
      </c>
      <c r="J168" s="169">
        <v>15</v>
      </c>
      <c r="K168" s="169">
        <v>0</v>
      </c>
      <c r="L168" s="169">
        <v>0</v>
      </c>
      <c r="M168" s="169">
        <v>0</v>
      </c>
      <c r="N168" s="169">
        <v>0</v>
      </c>
      <c r="O168" s="169">
        <v>0</v>
      </c>
      <c r="P168" s="169">
        <v>0</v>
      </c>
      <c r="Q168" s="169">
        <v>1336</v>
      </c>
      <c r="R168" s="170">
        <f t="shared" si="2"/>
        <v>2.0591317365269459</v>
      </c>
    </row>
    <row r="169" spans="1:18" hidden="1">
      <c r="A169" s="169" t="s">
        <v>651</v>
      </c>
      <c r="B169" s="169" t="s">
        <v>705</v>
      </c>
      <c r="C169" s="169" t="s">
        <v>661</v>
      </c>
      <c r="D169" s="169">
        <v>58</v>
      </c>
      <c r="E169" s="169">
        <v>293</v>
      </c>
      <c r="F169" s="169">
        <v>349</v>
      </c>
      <c r="G169" s="169">
        <v>176</v>
      </c>
      <c r="H169" s="169">
        <v>67</v>
      </c>
      <c r="I169" s="169">
        <v>28</v>
      </c>
      <c r="J169" s="169">
        <v>9</v>
      </c>
      <c r="K169" s="169">
        <v>1</v>
      </c>
      <c r="L169" s="169">
        <v>0</v>
      </c>
      <c r="M169" s="169">
        <v>0</v>
      </c>
      <c r="N169" s="169">
        <v>0</v>
      </c>
      <c r="O169" s="169">
        <v>0</v>
      </c>
      <c r="P169" s="169">
        <v>0</v>
      </c>
      <c r="Q169" s="169">
        <v>981</v>
      </c>
      <c r="R169" s="170">
        <f t="shared" si="2"/>
        <v>2.0265035677879712</v>
      </c>
    </row>
    <row r="170" spans="1:18" hidden="1">
      <c r="A170" s="169" t="s">
        <v>651</v>
      </c>
      <c r="B170" s="169" t="s">
        <v>705</v>
      </c>
      <c r="C170" s="169" t="s">
        <v>662</v>
      </c>
      <c r="D170" s="169">
        <v>3</v>
      </c>
      <c r="E170" s="169">
        <v>26</v>
      </c>
      <c r="F170" s="169">
        <v>19</v>
      </c>
      <c r="G170" s="169">
        <v>14</v>
      </c>
      <c r="H170" s="169">
        <v>7</v>
      </c>
      <c r="I170" s="169">
        <v>0</v>
      </c>
      <c r="J170" s="169">
        <v>0</v>
      </c>
      <c r="K170" s="169">
        <v>0</v>
      </c>
      <c r="L170" s="169">
        <v>0</v>
      </c>
      <c r="M170" s="169">
        <v>0</v>
      </c>
      <c r="N170" s="169">
        <v>0</v>
      </c>
      <c r="O170" s="169">
        <v>0</v>
      </c>
      <c r="P170" s="169">
        <v>0</v>
      </c>
      <c r="Q170" s="169">
        <v>69</v>
      </c>
      <c r="R170" s="170">
        <f t="shared" si="2"/>
        <v>1.9420289855072463</v>
      </c>
    </row>
    <row r="171" spans="1:18" hidden="1">
      <c r="A171" s="169" t="s">
        <v>651</v>
      </c>
      <c r="B171" s="169" t="s">
        <v>705</v>
      </c>
      <c r="C171" s="169" t="s">
        <v>663</v>
      </c>
      <c r="D171" s="169">
        <v>25</v>
      </c>
      <c r="E171" s="169">
        <v>99</v>
      </c>
      <c r="F171" s="169">
        <v>128</v>
      </c>
      <c r="G171" s="169">
        <v>48</v>
      </c>
      <c r="H171" s="169">
        <v>35</v>
      </c>
      <c r="I171" s="169">
        <v>6</v>
      </c>
      <c r="J171" s="169">
        <v>6</v>
      </c>
      <c r="K171" s="169">
        <v>0</v>
      </c>
      <c r="L171" s="169">
        <v>0</v>
      </c>
      <c r="M171" s="169">
        <v>0</v>
      </c>
      <c r="N171" s="169">
        <v>0</v>
      </c>
      <c r="O171" s="169">
        <v>0</v>
      </c>
      <c r="P171" s="169">
        <v>0</v>
      </c>
      <c r="Q171" s="169">
        <v>346</v>
      </c>
      <c r="R171" s="170">
        <f t="shared" si="2"/>
        <v>2.0375722543352599</v>
      </c>
    </row>
    <row r="172" spans="1:18" hidden="1">
      <c r="A172" s="169" t="s">
        <v>651</v>
      </c>
      <c r="B172" s="169" t="s">
        <v>705</v>
      </c>
      <c r="C172" s="169" t="s">
        <v>664</v>
      </c>
      <c r="D172" s="169">
        <v>4</v>
      </c>
      <c r="E172" s="169">
        <v>33</v>
      </c>
      <c r="F172" s="169">
        <v>67</v>
      </c>
      <c r="G172" s="169">
        <v>31</v>
      </c>
      <c r="H172" s="169">
        <v>12</v>
      </c>
      <c r="I172" s="169">
        <v>6</v>
      </c>
      <c r="J172" s="169">
        <v>0</v>
      </c>
      <c r="K172" s="169">
        <v>6</v>
      </c>
      <c r="L172" s="169">
        <v>1</v>
      </c>
      <c r="M172" s="169">
        <v>0</v>
      </c>
      <c r="N172" s="169">
        <v>0</v>
      </c>
      <c r="O172" s="169">
        <v>0</v>
      </c>
      <c r="P172" s="169">
        <v>0</v>
      </c>
      <c r="Q172" s="169">
        <v>159</v>
      </c>
      <c r="R172" s="170">
        <f t="shared" si="2"/>
        <v>2.4402515723270439</v>
      </c>
    </row>
    <row r="173" spans="1:18">
      <c r="A173" s="169" t="s">
        <v>651</v>
      </c>
      <c r="B173" s="169" t="s">
        <v>705</v>
      </c>
      <c r="C173" s="169" t="s">
        <v>665</v>
      </c>
      <c r="D173" s="169">
        <v>17</v>
      </c>
      <c r="E173" s="169">
        <v>218</v>
      </c>
      <c r="F173" s="169">
        <v>348</v>
      </c>
      <c r="G173" s="169">
        <v>83</v>
      </c>
      <c r="H173" s="169">
        <v>57</v>
      </c>
      <c r="I173" s="169">
        <v>18</v>
      </c>
      <c r="J173" s="169">
        <v>7</v>
      </c>
      <c r="K173" s="169">
        <v>0</v>
      </c>
      <c r="L173" s="169">
        <v>8</v>
      </c>
      <c r="M173" s="169">
        <v>0</v>
      </c>
      <c r="N173" s="169">
        <v>0</v>
      </c>
      <c r="O173" s="169">
        <v>15</v>
      </c>
      <c r="P173" s="169">
        <v>0</v>
      </c>
      <c r="Q173" s="169">
        <v>771</v>
      </c>
      <c r="R173" s="170">
        <f t="shared" si="2"/>
        <v>2.272373540856031</v>
      </c>
    </row>
    <row r="174" spans="1:18" hidden="1">
      <c r="A174" s="169" t="s">
        <v>651</v>
      </c>
      <c r="B174" s="169" t="s">
        <v>705</v>
      </c>
      <c r="C174" s="169" t="s">
        <v>666</v>
      </c>
      <c r="D174" s="169">
        <v>47</v>
      </c>
      <c r="E174" s="169">
        <v>174</v>
      </c>
      <c r="F174" s="169">
        <v>187</v>
      </c>
      <c r="G174" s="169">
        <v>121</v>
      </c>
      <c r="H174" s="169">
        <v>54</v>
      </c>
      <c r="I174" s="169">
        <v>7</v>
      </c>
      <c r="J174" s="169">
        <v>0</v>
      </c>
      <c r="K174" s="169">
        <v>0</v>
      </c>
      <c r="L174" s="169">
        <v>0</v>
      </c>
      <c r="M174" s="169">
        <v>0</v>
      </c>
      <c r="N174" s="169">
        <v>0</v>
      </c>
      <c r="O174" s="169">
        <v>0</v>
      </c>
      <c r="P174" s="169">
        <v>0</v>
      </c>
      <c r="Q174" s="169">
        <v>588</v>
      </c>
      <c r="R174" s="170">
        <f t="shared" si="2"/>
        <v>1.9761904761904763</v>
      </c>
    </row>
    <row r="175" spans="1:18" hidden="1">
      <c r="A175" s="169" t="s">
        <v>651</v>
      </c>
      <c r="B175" s="169" t="s">
        <v>705</v>
      </c>
      <c r="C175" s="169" t="s">
        <v>667</v>
      </c>
      <c r="D175" s="169">
        <v>15</v>
      </c>
      <c r="E175" s="169">
        <v>68</v>
      </c>
      <c r="F175" s="169">
        <v>73</v>
      </c>
      <c r="G175" s="169">
        <v>29</v>
      </c>
      <c r="H175" s="169">
        <v>9</v>
      </c>
      <c r="I175" s="169">
        <v>1</v>
      </c>
      <c r="J175" s="169">
        <v>0</v>
      </c>
      <c r="K175" s="169">
        <v>2</v>
      </c>
      <c r="L175" s="169">
        <v>0</v>
      </c>
      <c r="M175" s="169">
        <v>0</v>
      </c>
      <c r="N175" s="169">
        <v>0</v>
      </c>
      <c r="O175" s="169">
        <v>0</v>
      </c>
      <c r="P175" s="169">
        <v>0</v>
      </c>
      <c r="Q175" s="169">
        <v>198</v>
      </c>
      <c r="R175" s="170">
        <f t="shared" si="2"/>
        <v>1.797979797979798</v>
      </c>
    </row>
    <row r="176" spans="1:18" hidden="1">
      <c r="A176" s="169" t="s">
        <v>651</v>
      </c>
      <c r="B176" s="169" t="s">
        <v>705</v>
      </c>
      <c r="C176" s="169" t="s">
        <v>668</v>
      </c>
      <c r="D176" s="169">
        <v>15</v>
      </c>
      <c r="E176" s="169">
        <v>104</v>
      </c>
      <c r="F176" s="169">
        <v>158</v>
      </c>
      <c r="G176" s="169">
        <v>37</v>
      </c>
      <c r="H176" s="169">
        <v>28</v>
      </c>
      <c r="I176" s="169">
        <v>4</v>
      </c>
      <c r="J176" s="169">
        <v>3</v>
      </c>
      <c r="K176" s="169">
        <v>0</v>
      </c>
      <c r="L176" s="169">
        <v>0</v>
      </c>
      <c r="M176" s="169">
        <v>0</v>
      </c>
      <c r="N176" s="169">
        <v>0</v>
      </c>
      <c r="O176" s="169">
        <v>0</v>
      </c>
      <c r="P176" s="169">
        <v>0</v>
      </c>
      <c r="Q176" s="169">
        <v>348</v>
      </c>
      <c r="R176" s="170">
        <f t="shared" si="2"/>
        <v>1.9568965517241379</v>
      </c>
    </row>
    <row r="177" spans="1:18" hidden="1">
      <c r="A177" s="169" t="s">
        <v>651</v>
      </c>
      <c r="B177" s="169" t="s">
        <v>705</v>
      </c>
      <c r="C177" s="169" t="s">
        <v>669</v>
      </c>
      <c r="D177" s="169">
        <v>37</v>
      </c>
      <c r="E177" s="169">
        <v>120</v>
      </c>
      <c r="F177" s="169">
        <v>165</v>
      </c>
      <c r="G177" s="169">
        <v>83</v>
      </c>
      <c r="H177" s="169">
        <v>32</v>
      </c>
      <c r="I177" s="169">
        <v>0</v>
      </c>
      <c r="J177" s="169">
        <v>0</v>
      </c>
      <c r="K177" s="169">
        <v>0</v>
      </c>
      <c r="L177" s="169">
        <v>0</v>
      </c>
      <c r="M177" s="169">
        <v>0</v>
      </c>
      <c r="N177" s="169">
        <v>0</v>
      </c>
      <c r="O177" s="169">
        <v>0</v>
      </c>
      <c r="P177" s="169">
        <v>0</v>
      </c>
      <c r="Q177" s="169">
        <v>437</v>
      </c>
      <c r="R177" s="170">
        <f t="shared" si="2"/>
        <v>1.8924485125858124</v>
      </c>
    </row>
    <row r="178" spans="1:18" hidden="1">
      <c r="A178" s="169" t="s">
        <v>651</v>
      </c>
      <c r="B178" s="169" t="s">
        <v>705</v>
      </c>
      <c r="C178" s="169" t="s">
        <v>670</v>
      </c>
      <c r="D178" s="169">
        <v>26</v>
      </c>
      <c r="E178" s="169">
        <v>186</v>
      </c>
      <c r="F178" s="169">
        <v>303</v>
      </c>
      <c r="G178" s="169">
        <v>115</v>
      </c>
      <c r="H178" s="169">
        <v>57</v>
      </c>
      <c r="I178" s="169">
        <v>15</v>
      </c>
      <c r="J178" s="169">
        <v>0</v>
      </c>
      <c r="K178" s="169">
        <v>0</v>
      </c>
      <c r="L178" s="169">
        <v>4</v>
      </c>
      <c r="M178" s="169">
        <v>0</v>
      </c>
      <c r="N178" s="169">
        <v>0</v>
      </c>
      <c r="O178" s="169">
        <v>0</v>
      </c>
      <c r="P178" s="169">
        <v>0</v>
      </c>
      <c r="Q178" s="169">
        <v>704</v>
      </c>
      <c r="R178" s="170">
        <f t="shared" si="2"/>
        <v>2.0909090909090908</v>
      </c>
    </row>
    <row r="179" spans="1:18" hidden="1">
      <c r="A179" s="169" t="s">
        <v>651</v>
      </c>
      <c r="B179" s="169" t="s">
        <v>705</v>
      </c>
      <c r="C179" s="169" t="s">
        <v>671</v>
      </c>
      <c r="D179" s="169">
        <v>16</v>
      </c>
      <c r="E179" s="169">
        <v>73</v>
      </c>
      <c r="F179" s="169">
        <v>152</v>
      </c>
      <c r="G179" s="169">
        <v>90</v>
      </c>
      <c r="H179" s="169">
        <v>47</v>
      </c>
      <c r="I179" s="169">
        <v>14</v>
      </c>
      <c r="J179" s="169">
        <v>6</v>
      </c>
      <c r="K179" s="169">
        <v>11</v>
      </c>
      <c r="L179" s="169">
        <v>0</v>
      </c>
      <c r="M179" s="169">
        <v>0</v>
      </c>
      <c r="N179" s="169">
        <v>3</v>
      </c>
      <c r="O179" s="169">
        <v>0</v>
      </c>
      <c r="P179" s="169">
        <v>0</v>
      </c>
      <c r="Q179" s="169">
        <v>411</v>
      </c>
      <c r="R179" s="170">
        <f t="shared" si="2"/>
        <v>2.5498783454987834</v>
      </c>
    </row>
    <row r="180" spans="1:18" hidden="1">
      <c r="A180" s="169" t="s">
        <v>651</v>
      </c>
      <c r="B180" s="169" t="s">
        <v>705</v>
      </c>
      <c r="C180" s="169" t="s">
        <v>672</v>
      </c>
      <c r="D180" s="169">
        <v>6</v>
      </c>
      <c r="E180" s="169">
        <v>58</v>
      </c>
      <c r="F180" s="169">
        <v>57</v>
      </c>
      <c r="G180" s="169">
        <v>14</v>
      </c>
      <c r="H180" s="169">
        <v>10</v>
      </c>
      <c r="I180" s="169">
        <v>0</v>
      </c>
      <c r="J180" s="169">
        <v>6</v>
      </c>
      <c r="K180" s="169">
        <v>0</v>
      </c>
      <c r="L180" s="169">
        <v>0</v>
      </c>
      <c r="M180" s="169">
        <v>0</v>
      </c>
      <c r="N180" s="169">
        <v>0</v>
      </c>
      <c r="O180" s="169">
        <v>0</v>
      </c>
      <c r="P180" s="169">
        <v>0</v>
      </c>
      <c r="Q180" s="169">
        <v>150</v>
      </c>
      <c r="R180" s="170">
        <f t="shared" si="2"/>
        <v>1.9333333333333333</v>
      </c>
    </row>
    <row r="181" spans="1:18" hidden="1">
      <c r="A181" s="169" t="s">
        <v>651</v>
      </c>
      <c r="B181" s="169" t="s">
        <v>705</v>
      </c>
      <c r="C181" s="169" t="s">
        <v>673</v>
      </c>
      <c r="D181" s="169">
        <v>19</v>
      </c>
      <c r="E181" s="169">
        <v>243</v>
      </c>
      <c r="F181" s="169">
        <v>327</v>
      </c>
      <c r="G181" s="169">
        <v>112</v>
      </c>
      <c r="H181" s="169">
        <v>86</v>
      </c>
      <c r="I181" s="169">
        <v>13</v>
      </c>
      <c r="J181" s="169">
        <v>0</v>
      </c>
      <c r="K181" s="169">
        <v>2</v>
      </c>
      <c r="L181" s="169">
        <v>0</v>
      </c>
      <c r="M181" s="169">
        <v>0</v>
      </c>
      <c r="N181" s="169">
        <v>0</v>
      </c>
      <c r="O181" s="169">
        <v>0</v>
      </c>
      <c r="P181" s="169">
        <v>0</v>
      </c>
      <c r="Q181" s="169">
        <v>802</v>
      </c>
      <c r="R181" s="170">
        <f t="shared" si="2"/>
        <v>2.0648379052369079</v>
      </c>
    </row>
    <row r="182" spans="1:18" hidden="1">
      <c r="A182" s="169" t="s">
        <v>651</v>
      </c>
      <c r="B182" s="169" t="s">
        <v>705</v>
      </c>
      <c r="C182" s="169" t="s">
        <v>674</v>
      </c>
      <c r="D182" s="169">
        <v>26</v>
      </c>
      <c r="E182" s="169">
        <v>95</v>
      </c>
      <c r="F182" s="169">
        <v>144</v>
      </c>
      <c r="G182" s="169">
        <v>87</v>
      </c>
      <c r="H182" s="169">
        <v>45</v>
      </c>
      <c r="I182" s="169">
        <v>9</v>
      </c>
      <c r="J182" s="169">
        <v>10</v>
      </c>
      <c r="K182" s="169">
        <v>0</v>
      </c>
      <c r="L182" s="169">
        <v>0</v>
      </c>
      <c r="M182" s="169">
        <v>4</v>
      </c>
      <c r="N182" s="169">
        <v>0</v>
      </c>
      <c r="O182" s="169">
        <v>0</v>
      </c>
      <c r="P182" s="169">
        <v>0</v>
      </c>
      <c r="Q182" s="169">
        <v>421</v>
      </c>
      <c r="R182" s="170">
        <f t="shared" si="2"/>
        <v>2.2921615201900236</v>
      </c>
    </row>
    <row r="183" spans="1:18" hidden="1">
      <c r="A183" s="169" t="s">
        <v>651</v>
      </c>
      <c r="B183" s="169" t="s">
        <v>705</v>
      </c>
      <c r="C183" s="169" t="s">
        <v>675</v>
      </c>
      <c r="D183" s="169">
        <v>32</v>
      </c>
      <c r="E183" s="169">
        <v>154</v>
      </c>
      <c r="F183" s="169">
        <v>142</v>
      </c>
      <c r="G183" s="169">
        <v>76</v>
      </c>
      <c r="H183" s="169">
        <v>12</v>
      </c>
      <c r="I183" s="169">
        <v>21</v>
      </c>
      <c r="J183" s="169">
        <v>0</v>
      </c>
      <c r="K183" s="169">
        <v>2</v>
      </c>
      <c r="L183" s="169">
        <v>0</v>
      </c>
      <c r="M183" s="169">
        <v>0</v>
      </c>
      <c r="N183" s="169">
        <v>0</v>
      </c>
      <c r="O183" s="169">
        <v>0</v>
      </c>
      <c r="P183" s="169">
        <v>0</v>
      </c>
      <c r="Q183" s="169">
        <v>440</v>
      </c>
      <c r="R183" s="170">
        <f t="shared" si="2"/>
        <v>1.8931818181818181</v>
      </c>
    </row>
    <row r="184" spans="1:18" hidden="1">
      <c r="A184" s="169" t="s">
        <v>651</v>
      </c>
      <c r="B184" s="169" t="s">
        <v>705</v>
      </c>
      <c r="C184" s="169" t="s">
        <v>676</v>
      </c>
      <c r="D184" s="169">
        <v>37</v>
      </c>
      <c r="E184" s="169">
        <v>71</v>
      </c>
      <c r="F184" s="169">
        <v>146</v>
      </c>
      <c r="G184" s="169">
        <v>54</v>
      </c>
      <c r="H184" s="169">
        <v>22</v>
      </c>
      <c r="I184" s="169">
        <v>0</v>
      </c>
      <c r="J184" s="169">
        <v>13</v>
      </c>
      <c r="K184" s="169">
        <v>0</v>
      </c>
      <c r="L184" s="169">
        <v>0</v>
      </c>
      <c r="M184" s="169">
        <v>0</v>
      </c>
      <c r="N184" s="169">
        <v>0</v>
      </c>
      <c r="O184" s="169">
        <v>0</v>
      </c>
      <c r="P184" s="169">
        <v>0</v>
      </c>
      <c r="Q184" s="169">
        <v>343</v>
      </c>
      <c r="R184" s="170">
        <f t="shared" si="2"/>
        <v>2.0145772594752187</v>
      </c>
    </row>
    <row r="185" spans="1:18" hidden="1">
      <c r="A185" s="169" t="s">
        <v>651</v>
      </c>
      <c r="B185" s="169" t="s">
        <v>705</v>
      </c>
      <c r="C185" s="169" t="s">
        <v>677</v>
      </c>
      <c r="D185" s="169">
        <v>4</v>
      </c>
      <c r="E185" s="169">
        <v>19</v>
      </c>
      <c r="F185" s="169">
        <v>46</v>
      </c>
      <c r="G185" s="169">
        <v>30</v>
      </c>
      <c r="H185" s="169">
        <v>10</v>
      </c>
      <c r="I185" s="169">
        <v>6</v>
      </c>
      <c r="J185" s="169">
        <v>4</v>
      </c>
      <c r="K185" s="169">
        <v>0</v>
      </c>
      <c r="L185" s="169">
        <v>0</v>
      </c>
      <c r="M185" s="169">
        <v>0</v>
      </c>
      <c r="N185" s="169">
        <v>0</v>
      </c>
      <c r="O185" s="169">
        <v>2</v>
      </c>
      <c r="P185" s="169">
        <v>0</v>
      </c>
      <c r="Q185" s="169">
        <v>120</v>
      </c>
      <c r="R185" s="170">
        <f t="shared" si="2"/>
        <v>2.6416666666666666</v>
      </c>
    </row>
    <row r="186" spans="1:18" hidden="1">
      <c r="A186" s="169" t="s">
        <v>651</v>
      </c>
      <c r="B186" s="169" t="s">
        <v>705</v>
      </c>
      <c r="C186" s="169" t="s">
        <v>678</v>
      </c>
      <c r="D186" s="169">
        <v>63</v>
      </c>
      <c r="E186" s="169">
        <v>372</v>
      </c>
      <c r="F186" s="169">
        <v>483</v>
      </c>
      <c r="G186" s="169">
        <v>208</v>
      </c>
      <c r="H186" s="169">
        <v>88</v>
      </c>
      <c r="I186" s="169">
        <v>34</v>
      </c>
      <c r="J186" s="169">
        <v>7</v>
      </c>
      <c r="K186" s="169">
        <v>1</v>
      </c>
      <c r="L186" s="169">
        <v>1</v>
      </c>
      <c r="M186" s="169">
        <v>1</v>
      </c>
      <c r="N186" s="169">
        <v>0</v>
      </c>
      <c r="O186" s="169">
        <v>0</v>
      </c>
      <c r="P186" s="169">
        <v>0</v>
      </c>
      <c r="Q186" s="169">
        <v>1257</v>
      </c>
      <c r="R186" s="170">
        <f t="shared" si="2"/>
        <v>2.028639618138425</v>
      </c>
    </row>
    <row r="187" spans="1:18" hidden="1">
      <c r="A187" s="169" t="s">
        <v>651</v>
      </c>
      <c r="B187" s="169" t="s">
        <v>705</v>
      </c>
      <c r="C187" s="169" t="s">
        <v>679</v>
      </c>
      <c r="D187" s="169">
        <v>6</v>
      </c>
      <c r="E187" s="169">
        <v>33</v>
      </c>
      <c r="F187" s="169">
        <v>24</v>
      </c>
      <c r="G187" s="169">
        <v>14</v>
      </c>
      <c r="H187" s="169">
        <v>3</v>
      </c>
      <c r="I187" s="169">
        <v>0</v>
      </c>
      <c r="J187" s="169">
        <v>1</v>
      </c>
      <c r="K187" s="169">
        <v>1</v>
      </c>
      <c r="L187" s="169">
        <v>0</v>
      </c>
      <c r="M187" s="169">
        <v>0</v>
      </c>
      <c r="N187" s="169">
        <v>0</v>
      </c>
      <c r="O187" s="169">
        <v>0</v>
      </c>
      <c r="P187" s="169">
        <v>0</v>
      </c>
      <c r="Q187" s="169">
        <v>82</v>
      </c>
      <c r="R187" s="170">
        <f t="shared" si="2"/>
        <v>1.8048780487804879</v>
      </c>
    </row>
    <row r="188" spans="1:18" hidden="1">
      <c r="A188" s="169" t="s">
        <v>651</v>
      </c>
      <c r="B188" s="169" t="s">
        <v>705</v>
      </c>
      <c r="C188" s="169" t="s">
        <v>680</v>
      </c>
      <c r="D188" s="169">
        <v>18</v>
      </c>
      <c r="E188" s="169">
        <v>35</v>
      </c>
      <c r="F188" s="169">
        <v>26</v>
      </c>
      <c r="G188" s="169">
        <v>30</v>
      </c>
      <c r="H188" s="169">
        <v>12</v>
      </c>
      <c r="I188" s="169">
        <v>1</v>
      </c>
      <c r="J188" s="169">
        <v>0</v>
      </c>
      <c r="K188" s="169">
        <v>0</v>
      </c>
      <c r="L188" s="169">
        <v>0</v>
      </c>
      <c r="M188" s="169">
        <v>0</v>
      </c>
      <c r="N188" s="169">
        <v>0</v>
      </c>
      <c r="O188" s="169">
        <v>0</v>
      </c>
      <c r="P188" s="169">
        <v>0</v>
      </c>
      <c r="Q188" s="169">
        <v>121</v>
      </c>
      <c r="R188" s="170">
        <f t="shared" si="2"/>
        <v>1.9008264462809918</v>
      </c>
    </row>
    <row r="189" spans="1:18" hidden="1">
      <c r="A189" s="169" t="s">
        <v>651</v>
      </c>
      <c r="B189" s="169" t="s">
        <v>705</v>
      </c>
      <c r="C189" s="169" t="s">
        <v>681</v>
      </c>
      <c r="D189" s="169">
        <v>4</v>
      </c>
      <c r="E189" s="169">
        <v>74</v>
      </c>
      <c r="F189" s="169">
        <v>96</v>
      </c>
      <c r="G189" s="169">
        <v>36</v>
      </c>
      <c r="H189" s="169">
        <v>26</v>
      </c>
      <c r="I189" s="169">
        <v>9</v>
      </c>
      <c r="J189" s="169">
        <v>0</v>
      </c>
      <c r="K189" s="169">
        <v>0</v>
      </c>
      <c r="L189" s="169">
        <v>0</v>
      </c>
      <c r="M189" s="169">
        <v>0</v>
      </c>
      <c r="N189" s="169">
        <v>0</v>
      </c>
      <c r="O189" s="169">
        <v>0</v>
      </c>
      <c r="P189" s="169">
        <v>3</v>
      </c>
      <c r="Q189" s="169">
        <v>249</v>
      </c>
      <c r="R189" s="170">
        <f t="shared" si="2"/>
        <v>2.2449799196787148</v>
      </c>
    </row>
    <row r="190" spans="1:18" hidden="1">
      <c r="A190" s="169" t="s">
        <v>651</v>
      </c>
      <c r="B190" s="169" t="s">
        <v>705</v>
      </c>
      <c r="C190" s="169" t="s">
        <v>682</v>
      </c>
      <c r="D190" s="169">
        <v>20</v>
      </c>
      <c r="E190" s="169">
        <v>105</v>
      </c>
      <c r="F190" s="169">
        <v>159</v>
      </c>
      <c r="G190" s="169">
        <v>98</v>
      </c>
      <c r="H190" s="169">
        <v>83</v>
      </c>
      <c r="I190" s="169">
        <v>5</v>
      </c>
      <c r="J190" s="169">
        <v>0</v>
      </c>
      <c r="K190" s="169">
        <v>0</v>
      </c>
      <c r="L190" s="169">
        <v>0</v>
      </c>
      <c r="M190" s="169">
        <v>0</v>
      </c>
      <c r="N190" s="169">
        <v>0</v>
      </c>
      <c r="O190" s="169">
        <v>0</v>
      </c>
      <c r="P190" s="169">
        <v>0</v>
      </c>
      <c r="Q190" s="169">
        <v>470</v>
      </c>
      <c r="R190" s="170">
        <f t="shared" si="2"/>
        <v>2.2851063829787233</v>
      </c>
    </row>
    <row r="191" spans="1:18" hidden="1">
      <c r="A191" s="169" t="s">
        <v>651</v>
      </c>
      <c r="B191" s="169" t="s">
        <v>705</v>
      </c>
      <c r="C191" s="169" t="s">
        <v>683</v>
      </c>
      <c r="D191" s="169">
        <v>0</v>
      </c>
      <c r="E191" s="169">
        <v>46</v>
      </c>
      <c r="F191" s="169">
        <v>70</v>
      </c>
      <c r="G191" s="169">
        <v>25</v>
      </c>
      <c r="H191" s="169">
        <v>24</v>
      </c>
      <c r="I191" s="169">
        <v>1</v>
      </c>
      <c r="J191" s="169">
        <v>2</v>
      </c>
      <c r="K191" s="169">
        <v>0</v>
      </c>
      <c r="L191" s="169">
        <v>0</v>
      </c>
      <c r="M191" s="169">
        <v>0</v>
      </c>
      <c r="N191" s="169">
        <v>0</v>
      </c>
      <c r="O191" s="169">
        <v>0</v>
      </c>
      <c r="P191" s="169">
        <v>0</v>
      </c>
      <c r="Q191" s="169">
        <v>168</v>
      </c>
      <c r="R191" s="170">
        <f t="shared" si="2"/>
        <v>2.2261904761904763</v>
      </c>
    </row>
    <row r="192" spans="1:18" hidden="1">
      <c r="A192" s="169" t="s">
        <v>651</v>
      </c>
      <c r="B192" s="169" t="s">
        <v>705</v>
      </c>
      <c r="C192" s="169" t="s">
        <v>684</v>
      </c>
      <c r="D192" s="169">
        <v>0</v>
      </c>
      <c r="E192" s="169">
        <v>35</v>
      </c>
      <c r="F192" s="169">
        <v>50</v>
      </c>
      <c r="G192" s="169">
        <v>18</v>
      </c>
      <c r="H192" s="169">
        <v>0</v>
      </c>
      <c r="I192" s="169">
        <v>0</v>
      </c>
      <c r="J192" s="169">
        <v>0</v>
      </c>
      <c r="K192" s="169">
        <v>0</v>
      </c>
      <c r="L192" s="169">
        <v>0</v>
      </c>
      <c r="M192" s="169">
        <v>0</v>
      </c>
      <c r="N192" s="169">
        <v>0</v>
      </c>
      <c r="O192" s="169">
        <v>0</v>
      </c>
      <c r="P192" s="169">
        <v>0</v>
      </c>
      <c r="Q192" s="169">
        <v>104</v>
      </c>
      <c r="R192" s="170">
        <f t="shared" si="2"/>
        <v>1.8173076923076923</v>
      </c>
    </row>
    <row r="193" spans="1:18" hidden="1">
      <c r="A193" s="169" t="s">
        <v>651</v>
      </c>
      <c r="B193" s="169" t="s">
        <v>705</v>
      </c>
      <c r="C193" s="169" t="s">
        <v>685</v>
      </c>
      <c r="D193" s="169">
        <v>56</v>
      </c>
      <c r="E193" s="169">
        <v>256</v>
      </c>
      <c r="F193" s="169">
        <v>318</v>
      </c>
      <c r="G193" s="169">
        <v>126</v>
      </c>
      <c r="H193" s="169">
        <v>66</v>
      </c>
      <c r="I193" s="169">
        <v>14</v>
      </c>
      <c r="J193" s="169">
        <v>7</v>
      </c>
      <c r="K193" s="169">
        <v>2</v>
      </c>
      <c r="L193" s="169">
        <v>0</v>
      </c>
      <c r="M193" s="169">
        <v>0</v>
      </c>
      <c r="N193" s="169">
        <v>0</v>
      </c>
      <c r="O193" s="169">
        <v>0</v>
      </c>
      <c r="P193" s="169">
        <v>0</v>
      </c>
      <c r="Q193" s="169">
        <v>847</v>
      </c>
      <c r="R193" s="170">
        <f t="shared" si="2"/>
        <v>1.9598583234946871</v>
      </c>
    </row>
    <row r="194" spans="1:18" hidden="1">
      <c r="A194" s="169" t="s">
        <v>651</v>
      </c>
      <c r="B194" s="169" t="s">
        <v>705</v>
      </c>
      <c r="C194" s="169" t="s">
        <v>686</v>
      </c>
      <c r="D194" s="169">
        <v>17</v>
      </c>
      <c r="E194" s="169">
        <v>344</v>
      </c>
      <c r="F194" s="169">
        <v>437</v>
      </c>
      <c r="G194" s="169">
        <v>221</v>
      </c>
      <c r="H194" s="169">
        <v>85</v>
      </c>
      <c r="I194" s="169">
        <v>26</v>
      </c>
      <c r="J194" s="169">
        <v>9</v>
      </c>
      <c r="K194" s="169">
        <v>0</v>
      </c>
      <c r="L194" s="169">
        <v>7</v>
      </c>
      <c r="M194" s="169">
        <v>0</v>
      </c>
      <c r="N194" s="169">
        <v>0</v>
      </c>
      <c r="O194" s="169">
        <v>0</v>
      </c>
      <c r="P194" s="169">
        <v>0</v>
      </c>
      <c r="Q194" s="169">
        <v>1146</v>
      </c>
      <c r="R194" s="170">
        <f t="shared" si="2"/>
        <v>2.1474694589877834</v>
      </c>
    </row>
    <row r="195" spans="1:18" hidden="1">
      <c r="A195" s="169" t="s">
        <v>651</v>
      </c>
      <c r="B195" s="169" t="s">
        <v>705</v>
      </c>
      <c r="C195" s="169" t="s">
        <v>687</v>
      </c>
      <c r="D195" s="169">
        <v>4</v>
      </c>
      <c r="E195" s="169">
        <v>119</v>
      </c>
      <c r="F195" s="169">
        <v>109</v>
      </c>
      <c r="G195" s="169">
        <v>68</v>
      </c>
      <c r="H195" s="169">
        <v>15</v>
      </c>
      <c r="I195" s="169">
        <v>3</v>
      </c>
      <c r="J195" s="169">
        <v>5</v>
      </c>
      <c r="K195" s="169">
        <v>0</v>
      </c>
      <c r="L195" s="169">
        <v>0</v>
      </c>
      <c r="M195" s="169">
        <v>0</v>
      </c>
      <c r="N195" s="169">
        <v>0</v>
      </c>
      <c r="O195" s="169">
        <v>0</v>
      </c>
      <c r="P195" s="169">
        <v>0</v>
      </c>
      <c r="Q195" s="169">
        <v>324</v>
      </c>
      <c r="R195" s="170">
        <f t="shared" si="2"/>
        <v>1.9938271604938271</v>
      </c>
    </row>
    <row r="196" spans="1:18" hidden="1">
      <c r="A196" s="169" t="s">
        <v>651</v>
      </c>
      <c r="B196" s="169" t="s">
        <v>705</v>
      </c>
      <c r="C196" s="169" t="s">
        <v>688</v>
      </c>
      <c r="D196" s="169">
        <v>30</v>
      </c>
      <c r="E196" s="169">
        <v>79</v>
      </c>
      <c r="F196" s="169">
        <v>91</v>
      </c>
      <c r="G196" s="169">
        <v>59</v>
      </c>
      <c r="H196" s="169">
        <v>19</v>
      </c>
      <c r="I196" s="169">
        <v>12</v>
      </c>
      <c r="J196" s="169">
        <v>1</v>
      </c>
      <c r="K196" s="169">
        <v>0</v>
      </c>
      <c r="L196" s="169">
        <v>2</v>
      </c>
      <c r="M196" s="169">
        <v>0</v>
      </c>
      <c r="N196" s="169">
        <v>0</v>
      </c>
      <c r="O196" s="169">
        <v>0</v>
      </c>
      <c r="P196" s="169">
        <v>0</v>
      </c>
      <c r="Q196" s="169">
        <v>292</v>
      </c>
      <c r="R196" s="170">
        <f t="shared" si="2"/>
        <v>2.0410958904109591</v>
      </c>
    </row>
    <row r="197" spans="1:18" hidden="1">
      <c r="A197" s="169" t="s">
        <v>651</v>
      </c>
      <c r="B197" s="169" t="s">
        <v>705</v>
      </c>
      <c r="C197" s="169" t="s">
        <v>689</v>
      </c>
      <c r="D197" s="169">
        <v>54</v>
      </c>
      <c r="E197" s="169">
        <v>335</v>
      </c>
      <c r="F197" s="169">
        <v>410</v>
      </c>
      <c r="G197" s="169">
        <v>188</v>
      </c>
      <c r="H197" s="169">
        <v>107</v>
      </c>
      <c r="I197" s="169">
        <v>17</v>
      </c>
      <c r="J197" s="169">
        <v>23</v>
      </c>
      <c r="K197" s="169">
        <v>16</v>
      </c>
      <c r="L197" s="169">
        <v>4</v>
      </c>
      <c r="M197" s="169">
        <v>0</v>
      </c>
      <c r="N197" s="169">
        <v>0</v>
      </c>
      <c r="O197" s="169">
        <v>0</v>
      </c>
      <c r="P197" s="169">
        <v>0</v>
      </c>
      <c r="Q197" s="169">
        <v>1156</v>
      </c>
      <c r="R197" s="170">
        <f t="shared" si="2"/>
        <v>2.1747404844290656</v>
      </c>
    </row>
    <row r="198" spans="1:18" hidden="1">
      <c r="A198" s="169" t="s">
        <v>651</v>
      </c>
      <c r="B198" s="169" t="s">
        <v>705</v>
      </c>
      <c r="C198" s="169" t="s">
        <v>690</v>
      </c>
      <c r="D198" s="169">
        <v>1</v>
      </c>
      <c r="E198" s="169">
        <v>32</v>
      </c>
      <c r="F198" s="169">
        <v>19</v>
      </c>
      <c r="G198" s="169">
        <v>23</v>
      </c>
      <c r="H198" s="169">
        <v>10</v>
      </c>
      <c r="I198" s="169">
        <v>0</v>
      </c>
      <c r="J198" s="169">
        <v>0</v>
      </c>
      <c r="K198" s="169">
        <v>0</v>
      </c>
      <c r="L198" s="169">
        <v>0</v>
      </c>
      <c r="M198" s="169">
        <v>0</v>
      </c>
      <c r="N198" s="169">
        <v>0</v>
      </c>
      <c r="O198" s="169">
        <v>0</v>
      </c>
      <c r="P198" s="169">
        <v>0</v>
      </c>
      <c r="Q198" s="169">
        <v>85</v>
      </c>
      <c r="R198" s="170">
        <f t="shared" ref="R198:R210" si="3">SUM(D198*D$5,E198*E$5,F198*F$5,G198*G$5,H198*H$5,I198*I$5,J198*J$5,K198*K$5,L198*L$5,M198*M$5,N198*N$5,O198*O$5,P198*P$5)/Q198</f>
        <v>2.1058823529411765</v>
      </c>
    </row>
    <row r="199" spans="1:18" hidden="1">
      <c r="A199" s="169" t="s">
        <v>651</v>
      </c>
      <c r="B199" s="169" t="s">
        <v>705</v>
      </c>
      <c r="C199" s="169" t="s">
        <v>691</v>
      </c>
      <c r="D199" s="169">
        <v>47</v>
      </c>
      <c r="E199" s="169">
        <v>208</v>
      </c>
      <c r="F199" s="169">
        <v>256</v>
      </c>
      <c r="G199" s="169">
        <v>108</v>
      </c>
      <c r="H199" s="169">
        <v>35</v>
      </c>
      <c r="I199" s="169">
        <v>8</v>
      </c>
      <c r="J199" s="169">
        <v>5</v>
      </c>
      <c r="K199" s="169">
        <v>4</v>
      </c>
      <c r="L199" s="169">
        <v>0</v>
      </c>
      <c r="M199" s="169">
        <v>1</v>
      </c>
      <c r="N199" s="169">
        <v>0</v>
      </c>
      <c r="O199" s="169">
        <v>0</v>
      </c>
      <c r="P199" s="169">
        <v>0</v>
      </c>
      <c r="Q199" s="169">
        <v>672</v>
      </c>
      <c r="R199" s="170">
        <f t="shared" si="3"/>
        <v>1.9211309523809523</v>
      </c>
    </row>
    <row r="200" spans="1:18" hidden="1">
      <c r="A200" s="169" t="s">
        <v>651</v>
      </c>
      <c r="B200" s="169" t="s">
        <v>705</v>
      </c>
      <c r="C200" s="169" t="s">
        <v>692</v>
      </c>
      <c r="D200" s="169">
        <v>2</v>
      </c>
      <c r="E200" s="169">
        <v>41</v>
      </c>
      <c r="F200" s="169">
        <v>30</v>
      </c>
      <c r="G200" s="169">
        <v>28</v>
      </c>
      <c r="H200" s="169">
        <v>7</v>
      </c>
      <c r="I200" s="169">
        <v>4</v>
      </c>
      <c r="J200" s="169">
        <v>1</v>
      </c>
      <c r="K200" s="169">
        <v>0</v>
      </c>
      <c r="L200" s="169">
        <v>2</v>
      </c>
      <c r="M200" s="169">
        <v>0</v>
      </c>
      <c r="N200" s="169">
        <v>0</v>
      </c>
      <c r="O200" s="169">
        <v>0</v>
      </c>
      <c r="P200" s="169">
        <v>0</v>
      </c>
      <c r="Q200" s="169">
        <v>114</v>
      </c>
      <c r="R200" s="170">
        <f t="shared" si="3"/>
        <v>2.236842105263158</v>
      </c>
    </row>
    <row r="201" spans="1:18" hidden="1">
      <c r="A201" s="169" t="s">
        <v>651</v>
      </c>
      <c r="B201" s="169" t="s">
        <v>705</v>
      </c>
      <c r="C201" s="169" t="s">
        <v>693</v>
      </c>
      <c r="D201" s="169">
        <v>20</v>
      </c>
      <c r="E201" s="169">
        <v>171</v>
      </c>
      <c r="F201" s="169">
        <v>236</v>
      </c>
      <c r="G201" s="169">
        <v>146</v>
      </c>
      <c r="H201" s="169">
        <v>27</v>
      </c>
      <c r="I201" s="169">
        <v>43</v>
      </c>
      <c r="J201" s="169">
        <v>9</v>
      </c>
      <c r="K201" s="169">
        <v>0</v>
      </c>
      <c r="L201" s="169">
        <v>0</v>
      </c>
      <c r="M201" s="169">
        <v>0</v>
      </c>
      <c r="N201" s="169">
        <v>0</v>
      </c>
      <c r="O201" s="169">
        <v>0</v>
      </c>
      <c r="P201" s="169">
        <v>0</v>
      </c>
      <c r="Q201" s="169">
        <v>652</v>
      </c>
      <c r="R201" s="170">
        <f t="shared" si="3"/>
        <v>2.2361963190184051</v>
      </c>
    </row>
    <row r="202" spans="1:18" hidden="1">
      <c r="A202" s="169" t="s">
        <v>651</v>
      </c>
      <c r="B202" s="169" t="s">
        <v>705</v>
      </c>
      <c r="C202" s="169" t="s">
        <v>694</v>
      </c>
      <c r="D202" s="169">
        <v>54</v>
      </c>
      <c r="E202" s="169">
        <v>408</v>
      </c>
      <c r="F202" s="169">
        <v>546</v>
      </c>
      <c r="G202" s="169">
        <v>263</v>
      </c>
      <c r="H202" s="169">
        <v>87</v>
      </c>
      <c r="I202" s="169">
        <v>28</v>
      </c>
      <c r="J202" s="169">
        <v>8</v>
      </c>
      <c r="K202" s="169">
        <v>5</v>
      </c>
      <c r="L202" s="169">
        <v>2</v>
      </c>
      <c r="M202" s="169">
        <v>1</v>
      </c>
      <c r="N202" s="169">
        <v>1</v>
      </c>
      <c r="O202" s="169">
        <v>0</v>
      </c>
      <c r="P202" s="169">
        <v>0</v>
      </c>
      <c r="Q202" s="169">
        <v>1402</v>
      </c>
      <c r="R202" s="170">
        <f t="shared" si="3"/>
        <v>2.0649072753209698</v>
      </c>
    </row>
    <row r="203" spans="1:18" hidden="1">
      <c r="A203" s="169" t="s">
        <v>651</v>
      </c>
      <c r="B203" s="169" t="s">
        <v>705</v>
      </c>
      <c r="C203" s="169" t="s">
        <v>695</v>
      </c>
      <c r="D203" s="169">
        <v>10</v>
      </c>
      <c r="E203" s="169">
        <v>33</v>
      </c>
      <c r="F203" s="169">
        <v>87</v>
      </c>
      <c r="G203" s="169">
        <v>41</v>
      </c>
      <c r="H203" s="169">
        <v>25</v>
      </c>
      <c r="I203" s="169">
        <v>9</v>
      </c>
      <c r="J203" s="169">
        <v>4</v>
      </c>
      <c r="K203" s="169">
        <v>0</v>
      </c>
      <c r="L203" s="169">
        <v>0</v>
      </c>
      <c r="M203" s="169">
        <v>1</v>
      </c>
      <c r="N203" s="169">
        <v>0</v>
      </c>
      <c r="O203" s="169">
        <v>0</v>
      </c>
      <c r="P203" s="169">
        <v>0</v>
      </c>
      <c r="Q203" s="169">
        <v>210</v>
      </c>
      <c r="R203" s="170">
        <f t="shared" si="3"/>
        <v>2.4190476190476189</v>
      </c>
    </row>
    <row r="204" spans="1:18" hidden="1">
      <c r="A204" s="169" t="s">
        <v>651</v>
      </c>
      <c r="B204" s="169" t="s">
        <v>705</v>
      </c>
      <c r="C204" s="169" t="s">
        <v>696</v>
      </c>
      <c r="D204" s="169">
        <v>16</v>
      </c>
      <c r="E204" s="169">
        <v>177</v>
      </c>
      <c r="F204" s="169">
        <v>114</v>
      </c>
      <c r="G204" s="169">
        <v>115</v>
      </c>
      <c r="H204" s="169">
        <v>30</v>
      </c>
      <c r="I204" s="169">
        <v>41</v>
      </c>
      <c r="J204" s="169">
        <v>8</v>
      </c>
      <c r="K204" s="169">
        <v>0</v>
      </c>
      <c r="L204" s="169">
        <v>0</v>
      </c>
      <c r="M204" s="169">
        <v>0</v>
      </c>
      <c r="N204" s="169">
        <v>0</v>
      </c>
      <c r="O204" s="169">
        <v>0</v>
      </c>
      <c r="P204" s="169">
        <v>0</v>
      </c>
      <c r="Q204" s="169">
        <v>500</v>
      </c>
      <c r="R204" s="170">
        <f t="shared" si="3"/>
        <v>2.246</v>
      </c>
    </row>
    <row r="205" spans="1:18" hidden="1">
      <c r="A205" s="169" t="s">
        <v>651</v>
      </c>
      <c r="B205" s="169" t="s">
        <v>705</v>
      </c>
      <c r="C205" s="169" t="s">
        <v>697</v>
      </c>
      <c r="D205" s="169">
        <v>2</v>
      </c>
      <c r="E205" s="169">
        <v>28</v>
      </c>
      <c r="F205" s="169">
        <v>20</v>
      </c>
      <c r="G205" s="169">
        <v>17</v>
      </c>
      <c r="H205" s="169">
        <v>2</v>
      </c>
      <c r="I205" s="169">
        <v>1</v>
      </c>
      <c r="J205" s="169">
        <v>0</v>
      </c>
      <c r="K205" s="169">
        <v>0</v>
      </c>
      <c r="L205" s="169">
        <v>0</v>
      </c>
      <c r="M205" s="169">
        <v>0</v>
      </c>
      <c r="N205" s="169">
        <v>0</v>
      </c>
      <c r="O205" s="169">
        <v>0</v>
      </c>
      <c r="P205" s="169">
        <v>0</v>
      </c>
      <c r="Q205" s="169">
        <v>69</v>
      </c>
      <c r="R205" s="170">
        <f t="shared" si="3"/>
        <v>1.9130434782608696</v>
      </c>
    </row>
    <row r="206" spans="1:18" hidden="1">
      <c r="A206" s="169" t="s">
        <v>651</v>
      </c>
      <c r="B206" s="169" t="s">
        <v>705</v>
      </c>
      <c r="C206" s="169" t="s">
        <v>698</v>
      </c>
      <c r="D206" s="169">
        <v>15</v>
      </c>
      <c r="E206" s="169">
        <v>55</v>
      </c>
      <c r="F206" s="169">
        <v>124</v>
      </c>
      <c r="G206" s="169">
        <v>76</v>
      </c>
      <c r="H206" s="169">
        <v>29</v>
      </c>
      <c r="I206" s="169">
        <v>3</v>
      </c>
      <c r="J206" s="169">
        <v>2</v>
      </c>
      <c r="K206" s="169">
        <v>0</v>
      </c>
      <c r="L206" s="169">
        <v>0</v>
      </c>
      <c r="M206" s="169">
        <v>0</v>
      </c>
      <c r="N206" s="169">
        <v>0</v>
      </c>
      <c r="O206" s="169">
        <v>0</v>
      </c>
      <c r="P206" s="169">
        <v>0</v>
      </c>
      <c r="Q206" s="169">
        <v>303</v>
      </c>
      <c r="R206" s="170">
        <f t="shared" si="3"/>
        <v>2.2244224422442245</v>
      </c>
    </row>
    <row r="207" spans="1:18" hidden="1">
      <c r="A207" s="169" t="s">
        <v>651</v>
      </c>
      <c r="B207" s="169" t="s">
        <v>705</v>
      </c>
      <c r="C207" s="169" t="s">
        <v>699</v>
      </c>
      <c r="D207" s="169">
        <v>20</v>
      </c>
      <c r="E207" s="169">
        <v>159</v>
      </c>
      <c r="F207" s="169">
        <v>208</v>
      </c>
      <c r="G207" s="169">
        <v>82</v>
      </c>
      <c r="H207" s="169">
        <v>37</v>
      </c>
      <c r="I207" s="169">
        <v>14</v>
      </c>
      <c r="J207" s="169">
        <v>5</v>
      </c>
      <c r="K207" s="169">
        <v>2</v>
      </c>
      <c r="L207" s="169">
        <v>1</v>
      </c>
      <c r="M207" s="169">
        <v>0</v>
      </c>
      <c r="N207" s="169">
        <v>0</v>
      </c>
      <c r="O207" s="169">
        <v>0</v>
      </c>
      <c r="P207" s="169">
        <v>0</v>
      </c>
      <c r="Q207" s="169">
        <v>529</v>
      </c>
      <c r="R207" s="170">
        <f t="shared" si="3"/>
        <v>2.0623818525519848</v>
      </c>
    </row>
    <row r="208" spans="1:18" hidden="1">
      <c r="A208" s="169" t="s">
        <v>651</v>
      </c>
      <c r="B208" s="169" t="s">
        <v>705</v>
      </c>
      <c r="C208" s="169" t="s">
        <v>700</v>
      </c>
      <c r="D208" s="169">
        <v>32</v>
      </c>
      <c r="E208" s="169">
        <v>107</v>
      </c>
      <c r="F208" s="169">
        <v>58</v>
      </c>
      <c r="G208" s="169">
        <v>50</v>
      </c>
      <c r="H208" s="169">
        <v>6</v>
      </c>
      <c r="I208" s="169">
        <v>4</v>
      </c>
      <c r="J208" s="169">
        <v>2</v>
      </c>
      <c r="K208" s="169">
        <v>0</v>
      </c>
      <c r="L208" s="169">
        <v>0</v>
      </c>
      <c r="M208" s="169">
        <v>2</v>
      </c>
      <c r="N208" s="169">
        <v>0</v>
      </c>
      <c r="O208" s="169">
        <v>0</v>
      </c>
      <c r="P208" s="169">
        <v>0</v>
      </c>
      <c r="Q208" s="169">
        <v>261</v>
      </c>
      <c r="R208" s="170">
        <f t="shared" si="3"/>
        <v>1.7126436781609196</v>
      </c>
    </row>
    <row r="209" spans="1:18" hidden="1">
      <c r="A209" s="169" t="s">
        <v>651</v>
      </c>
      <c r="B209" s="169" t="s">
        <v>705</v>
      </c>
      <c r="C209" s="169" t="s">
        <v>701</v>
      </c>
      <c r="D209" s="169">
        <v>1</v>
      </c>
      <c r="E209" s="169">
        <v>23</v>
      </c>
      <c r="F209" s="169">
        <v>37</v>
      </c>
      <c r="G209" s="169">
        <v>14</v>
      </c>
      <c r="H209" s="169">
        <v>11</v>
      </c>
      <c r="I209" s="169">
        <v>8</v>
      </c>
      <c r="J209" s="169">
        <v>2</v>
      </c>
      <c r="K209" s="169">
        <v>0</v>
      </c>
      <c r="L209" s="169">
        <v>0</v>
      </c>
      <c r="M209" s="169">
        <v>0</v>
      </c>
      <c r="N209" s="169">
        <v>0</v>
      </c>
      <c r="O209" s="169">
        <v>0</v>
      </c>
      <c r="P209" s="169">
        <v>0</v>
      </c>
      <c r="Q209" s="169">
        <v>95</v>
      </c>
      <c r="R209" s="170">
        <f t="shared" si="3"/>
        <v>2.4736842105263159</v>
      </c>
    </row>
    <row r="210" spans="1:18" hidden="1">
      <c r="A210" s="169" t="s">
        <v>651</v>
      </c>
      <c r="B210" s="169" t="s">
        <v>705</v>
      </c>
      <c r="C210" s="169" t="s">
        <v>649</v>
      </c>
      <c r="D210" s="169">
        <v>964</v>
      </c>
      <c r="E210" s="169">
        <v>6663</v>
      </c>
      <c r="F210" s="169">
        <v>8482</v>
      </c>
      <c r="G210" s="169">
        <v>4143</v>
      </c>
      <c r="H210" s="169">
        <v>1711</v>
      </c>
      <c r="I210" s="169">
        <v>552</v>
      </c>
      <c r="J210" s="169">
        <v>212</v>
      </c>
      <c r="K210" s="169">
        <v>64</v>
      </c>
      <c r="L210" s="169">
        <v>34</v>
      </c>
      <c r="M210" s="169">
        <v>11</v>
      </c>
      <c r="N210" s="169">
        <v>4</v>
      </c>
      <c r="O210" s="169">
        <v>17</v>
      </c>
      <c r="P210" s="169">
        <v>9</v>
      </c>
      <c r="Q210" s="169">
        <v>22867</v>
      </c>
      <c r="R210" s="170">
        <f t="shared" si="3"/>
        <v>2.1028556435037391</v>
      </c>
    </row>
    <row r="211" spans="1:18" hidden="1">
      <c r="A211" s="169" t="s">
        <v>651</v>
      </c>
      <c r="B211" s="169" t="s">
        <v>706</v>
      </c>
      <c r="C211" s="169" t="s">
        <v>656</v>
      </c>
      <c r="D211" s="169">
        <v>102</v>
      </c>
      <c r="E211" s="169">
        <v>355</v>
      </c>
      <c r="F211" s="169">
        <v>225</v>
      </c>
      <c r="G211" s="169">
        <v>60</v>
      </c>
      <c r="H211" s="169">
        <v>43</v>
      </c>
      <c r="I211" s="169">
        <v>16</v>
      </c>
      <c r="J211" s="169">
        <v>11</v>
      </c>
      <c r="K211" s="169">
        <v>0</v>
      </c>
      <c r="L211" s="169">
        <v>0</v>
      </c>
      <c r="M211" s="169">
        <v>0</v>
      </c>
      <c r="N211" s="169">
        <v>0</v>
      </c>
      <c r="Q211" s="169">
        <v>812</v>
      </c>
      <c r="R211" s="170">
        <f>SUM(D211*D$5,E211*E$5,F211*F$5,G211*G$5,H211*H$5,I211*I$5,J211*J$5,K211*K$5,L211*L$5,M211*M$5,N211*N$5)/Q211</f>
        <v>1.604679802955665</v>
      </c>
    </row>
    <row r="212" spans="1:18" hidden="1">
      <c r="A212" s="169" t="s">
        <v>651</v>
      </c>
      <c r="B212" s="169" t="s">
        <v>706</v>
      </c>
      <c r="C212" s="169" t="s">
        <v>288</v>
      </c>
      <c r="D212" s="169">
        <v>657</v>
      </c>
      <c r="E212" s="169">
        <v>2349</v>
      </c>
      <c r="F212" s="169">
        <v>2039</v>
      </c>
      <c r="G212" s="169">
        <v>798</v>
      </c>
      <c r="H212" s="169">
        <v>316</v>
      </c>
      <c r="I212" s="169">
        <v>101</v>
      </c>
      <c r="J212" s="169">
        <v>35</v>
      </c>
      <c r="K212" s="169">
        <v>11</v>
      </c>
      <c r="L212" s="169">
        <v>6</v>
      </c>
      <c r="M212" s="169">
        <v>3</v>
      </c>
      <c r="N212" s="169">
        <v>0</v>
      </c>
      <c r="Q212" s="169">
        <v>6315</v>
      </c>
      <c r="R212" s="170">
        <f t="shared" ref="R212:R240" si="4">SUM(D212*D$5,E212*E$5,F212*F$5,G212*G$5,H212*H$5,I212*I$5,J212*J$5,K212*K$5,L212*L$5,M212*M$5,N212*N$5)/Q212</f>
        <v>1.7342834520981789</v>
      </c>
    </row>
    <row r="213" spans="1:18" hidden="1">
      <c r="A213" s="169" t="s">
        <v>651</v>
      </c>
      <c r="B213" s="169" t="s">
        <v>706</v>
      </c>
      <c r="C213" s="169" t="s">
        <v>657</v>
      </c>
      <c r="D213" s="169">
        <v>69</v>
      </c>
      <c r="E213" s="169">
        <v>272</v>
      </c>
      <c r="F213" s="169">
        <v>151</v>
      </c>
      <c r="G213" s="169">
        <v>88</v>
      </c>
      <c r="H213" s="169">
        <v>51</v>
      </c>
      <c r="I213" s="169">
        <v>0</v>
      </c>
      <c r="J213" s="169">
        <v>0</v>
      </c>
      <c r="K213" s="169">
        <v>0</v>
      </c>
      <c r="L213" s="169">
        <v>0</v>
      </c>
      <c r="M213" s="169">
        <v>0</v>
      </c>
      <c r="N213" s="169">
        <v>0</v>
      </c>
      <c r="Q213" s="169">
        <v>631</v>
      </c>
      <c r="R213" s="170">
        <f t="shared" si="4"/>
        <v>1.6513470681458002</v>
      </c>
    </row>
    <row r="214" spans="1:18" hidden="1">
      <c r="A214" s="169" t="s">
        <v>651</v>
      </c>
      <c r="B214" s="169" t="s">
        <v>706</v>
      </c>
      <c r="C214" s="169" t="s">
        <v>658</v>
      </c>
      <c r="D214" s="169">
        <v>0</v>
      </c>
      <c r="E214" s="169">
        <v>12</v>
      </c>
      <c r="F214" s="169">
        <v>6</v>
      </c>
      <c r="G214" s="169">
        <v>0</v>
      </c>
      <c r="H214" s="169">
        <v>0</v>
      </c>
      <c r="I214" s="169">
        <v>0</v>
      </c>
      <c r="J214" s="169">
        <v>0</v>
      </c>
      <c r="K214" s="169">
        <v>0</v>
      </c>
      <c r="L214" s="169">
        <v>0</v>
      </c>
      <c r="M214" s="169">
        <v>0</v>
      </c>
      <c r="N214" s="169">
        <v>0</v>
      </c>
      <c r="Q214" s="169">
        <v>18</v>
      </c>
      <c r="R214" s="170">
        <f t="shared" si="4"/>
        <v>1.3333333333333333</v>
      </c>
    </row>
    <row r="215" spans="1:18" hidden="1">
      <c r="A215" s="169" t="s">
        <v>651</v>
      </c>
      <c r="B215" s="169" t="s">
        <v>706</v>
      </c>
      <c r="C215" s="169" t="s">
        <v>704</v>
      </c>
      <c r="D215" s="169">
        <v>187</v>
      </c>
      <c r="E215" s="169">
        <v>202</v>
      </c>
      <c r="F215" s="169">
        <v>50</v>
      </c>
      <c r="G215" s="169">
        <v>14</v>
      </c>
      <c r="H215" s="169">
        <v>1</v>
      </c>
      <c r="I215" s="169">
        <v>0</v>
      </c>
      <c r="J215" s="169">
        <v>0</v>
      </c>
      <c r="K215" s="169">
        <v>0</v>
      </c>
      <c r="L215" s="169">
        <v>0</v>
      </c>
      <c r="M215" s="169">
        <v>0</v>
      </c>
      <c r="N215" s="169">
        <v>0</v>
      </c>
      <c r="Q215" s="169">
        <v>454</v>
      </c>
      <c r="R215" s="170">
        <f t="shared" si="4"/>
        <v>0.76651982378854622</v>
      </c>
    </row>
    <row r="216" spans="1:18" hidden="1">
      <c r="A216" s="169" t="s">
        <v>651</v>
      </c>
      <c r="B216" s="169" t="s">
        <v>706</v>
      </c>
      <c r="C216" s="169" t="s">
        <v>660</v>
      </c>
      <c r="D216" s="169">
        <v>95</v>
      </c>
      <c r="E216" s="169">
        <v>611</v>
      </c>
      <c r="F216" s="169">
        <v>314</v>
      </c>
      <c r="G216" s="169">
        <v>89</v>
      </c>
      <c r="H216" s="169">
        <v>41</v>
      </c>
      <c r="I216" s="169">
        <v>0</v>
      </c>
      <c r="J216" s="169">
        <v>0</v>
      </c>
      <c r="K216" s="169">
        <v>0</v>
      </c>
      <c r="L216" s="169">
        <v>0</v>
      </c>
      <c r="M216" s="169">
        <v>0</v>
      </c>
      <c r="N216" s="169">
        <v>0</v>
      </c>
      <c r="Q216" s="169">
        <v>1149</v>
      </c>
      <c r="R216" s="170">
        <f t="shared" si="4"/>
        <v>1.4534377719756311</v>
      </c>
    </row>
    <row r="217" spans="1:18" hidden="1">
      <c r="A217" s="169" t="s">
        <v>651</v>
      </c>
      <c r="B217" s="169" t="s">
        <v>706</v>
      </c>
      <c r="C217" s="169" t="s">
        <v>661</v>
      </c>
      <c r="D217" s="169">
        <v>11</v>
      </c>
      <c r="E217" s="169">
        <v>42</v>
      </c>
      <c r="F217" s="169">
        <v>38</v>
      </c>
      <c r="G217" s="169">
        <v>5</v>
      </c>
      <c r="H217" s="169">
        <v>1</v>
      </c>
      <c r="I217" s="169">
        <v>0</v>
      </c>
      <c r="J217" s="169">
        <v>0</v>
      </c>
      <c r="K217" s="169">
        <v>0</v>
      </c>
      <c r="L217" s="169">
        <v>0</v>
      </c>
      <c r="M217" s="169">
        <v>0</v>
      </c>
      <c r="N217" s="169">
        <v>0</v>
      </c>
      <c r="Q217" s="169">
        <v>97</v>
      </c>
      <c r="R217" s="170">
        <f t="shared" si="4"/>
        <v>1.4123711340206186</v>
      </c>
    </row>
    <row r="218" spans="1:18" hidden="1">
      <c r="A218" s="169" t="s">
        <v>651</v>
      </c>
      <c r="B218" s="169" t="s">
        <v>706</v>
      </c>
      <c r="C218" s="169" t="s">
        <v>662</v>
      </c>
      <c r="D218" s="169">
        <v>37</v>
      </c>
      <c r="E218" s="169">
        <v>72</v>
      </c>
      <c r="F218" s="169">
        <v>49</v>
      </c>
      <c r="G218" s="169">
        <v>13</v>
      </c>
      <c r="H218" s="169">
        <v>8</v>
      </c>
      <c r="I218" s="169">
        <v>3</v>
      </c>
      <c r="J218" s="169">
        <v>0</v>
      </c>
      <c r="K218" s="169">
        <v>0</v>
      </c>
      <c r="L218" s="169">
        <v>0</v>
      </c>
      <c r="M218" s="169">
        <v>0</v>
      </c>
      <c r="N218" s="169">
        <v>0</v>
      </c>
      <c r="Q218" s="169">
        <v>182</v>
      </c>
      <c r="R218" s="170">
        <f t="shared" si="4"/>
        <v>1.4065934065934067</v>
      </c>
    </row>
    <row r="219" spans="1:18">
      <c r="A219" s="169" t="s">
        <v>651</v>
      </c>
      <c r="B219" s="169" t="s">
        <v>706</v>
      </c>
      <c r="C219" s="169" t="s">
        <v>665</v>
      </c>
      <c r="D219" s="169">
        <v>390</v>
      </c>
      <c r="E219" s="169">
        <v>612</v>
      </c>
      <c r="F219" s="169">
        <v>289</v>
      </c>
      <c r="G219" s="169">
        <v>70</v>
      </c>
      <c r="H219" s="169">
        <v>3</v>
      </c>
      <c r="I219" s="169">
        <v>10</v>
      </c>
      <c r="J219" s="169">
        <v>4</v>
      </c>
      <c r="K219" s="169">
        <v>0</v>
      </c>
      <c r="L219" s="169">
        <v>0</v>
      </c>
      <c r="M219" s="169">
        <v>0</v>
      </c>
      <c r="N219" s="169">
        <v>0</v>
      </c>
      <c r="Q219" s="169">
        <v>1378</v>
      </c>
      <c r="R219" s="170">
        <f t="shared" si="4"/>
        <v>1.0783744557329462</v>
      </c>
    </row>
    <row r="220" spans="1:18" hidden="1">
      <c r="A220" s="169" t="s">
        <v>651</v>
      </c>
      <c r="B220" s="169" t="s">
        <v>706</v>
      </c>
      <c r="C220" s="169" t="s">
        <v>668</v>
      </c>
      <c r="D220" s="169">
        <v>99</v>
      </c>
      <c r="E220" s="169">
        <v>70</v>
      </c>
      <c r="F220" s="169">
        <v>11</v>
      </c>
      <c r="G220" s="169">
        <v>4</v>
      </c>
      <c r="H220" s="169">
        <v>0</v>
      </c>
      <c r="I220" s="169">
        <v>0</v>
      </c>
      <c r="J220" s="169">
        <v>0</v>
      </c>
      <c r="K220" s="169">
        <v>0</v>
      </c>
      <c r="L220" s="169">
        <v>0</v>
      </c>
      <c r="M220" s="169">
        <v>0</v>
      </c>
      <c r="N220" s="169">
        <v>0</v>
      </c>
      <c r="Q220" s="169">
        <v>183</v>
      </c>
      <c r="R220" s="170">
        <f t="shared" si="4"/>
        <v>0.56830601092896171</v>
      </c>
    </row>
    <row r="221" spans="1:18" hidden="1">
      <c r="A221" s="169" t="s">
        <v>651</v>
      </c>
      <c r="B221" s="169" t="s">
        <v>706</v>
      </c>
      <c r="C221" s="169" t="s">
        <v>669</v>
      </c>
      <c r="D221" s="169">
        <v>28</v>
      </c>
      <c r="E221" s="169">
        <v>80</v>
      </c>
      <c r="F221" s="169">
        <v>72</v>
      </c>
      <c r="G221" s="169">
        <v>5</v>
      </c>
      <c r="H221" s="169">
        <v>13</v>
      </c>
      <c r="I221" s="169">
        <v>0</v>
      </c>
      <c r="J221" s="169">
        <v>0</v>
      </c>
      <c r="K221" s="169">
        <v>0</v>
      </c>
      <c r="L221" s="169">
        <v>0</v>
      </c>
      <c r="M221" s="169">
        <v>0</v>
      </c>
      <c r="N221" s="169">
        <v>0</v>
      </c>
      <c r="Q221" s="169">
        <v>198</v>
      </c>
      <c r="R221" s="170">
        <f t="shared" si="4"/>
        <v>1.4696969696969697</v>
      </c>
    </row>
    <row r="222" spans="1:18" hidden="1">
      <c r="A222" s="169" t="s">
        <v>651</v>
      </c>
      <c r="B222" s="169" t="s">
        <v>706</v>
      </c>
      <c r="C222" s="169" t="s">
        <v>670</v>
      </c>
      <c r="D222" s="169">
        <v>219</v>
      </c>
      <c r="E222" s="169">
        <v>299</v>
      </c>
      <c r="F222" s="169">
        <v>82</v>
      </c>
      <c r="G222" s="169">
        <v>13</v>
      </c>
      <c r="H222" s="169">
        <v>0</v>
      </c>
      <c r="I222" s="169">
        <v>3</v>
      </c>
      <c r="J222" s="169">
        <v>0</v>
      </c>
      <c r="K222" s="169">
        <v>0</v>
      </c>
      <c r="L222" s="169">
        <v>0</v>
      </c>
      <c r="M222" s="169">
        <v>0</v>
      </c>
      <c r="N222" s="169">
        <v>0</v>
      </c>
      <c r="Q222" s="169">
        <v>615</v>
      </c>
      <c r="R222" s="170">
        <f t="shared" si="4"/>
        <v>0.84065040650406508</v>
      </c>
    </row>
    <row r="223" spans="1:18" hidden="1">
      <c r="A223" s="169" t="s">
        <v>651</v>
      </c>
      <c r="B223" s="169" t="s">
        <v>706</v>
      </c>
      <c r="C223" s="169" t="s">
        <v>671</v>
      </c>
      <c r="D223" s="169">
        <v>78</v>
      </c>
      <c r="E223" s="169">
        <v>148</v>
      </c>
      <c r="F223" s="169">
        <v>90</v>
      </c>
      <c r="G223" s="169">
        <v>3</v>
      </c>
      <c r="H223" s="169">
        <v>5</v>
      </c>
      <c r="I223" s="169">
        <v>0</v>
      </c>
      <c r="J223" s="169">
        <v>0</v>
      </c>
      <c r="K223" s="169">
        <v>0</v>
      </c>
      <c r="L223" s="169">
        <v>0</v>
      </c>
      <c r="M223" s="169">
        <v>0</v>
      </c>
      <c r="N223" s="169">
        <v>0</v>
      </c>
      <c r="Q223" s="169">
        <v>324</v>
      </c>
      <c r="R223" s="170">
        <f t="shared" si="4"/>
        <v>1.1018518518518519</v>
      </c>
    </row>
    <row r="224" spans="1:18" hidden="1">
      <c r="A224" s="169" t="s">
        <v>651</v>
      </c>
      <c r="B224" s="169" t="s">
        <v>706</v>
      </c>
      <c r="C224" s="169" t="s">
        <v>673</v>
      </c>
      <c r="D224" s="169">
        <v>136</v>
      </c>
      <c r="E224" s="169">
        <v>179</v>
      </c>
      <c r="F224" s="169">
        <v>118</v>
      </c>
      <c r="G224" s="169">
        <v>43</v>
      </c>
      <c r="H224" s="169">
        <v>2</v>
      </c>
      <c r="I224" s="169">
        <v>23</v>
      </c>
      <c r="J224" s="169">
        <v>0</v>
      </c>
      <c r="K224" s="169">
        <v>0</v>
      </c>
      <c r="L224" s="169">
        <v>0</v>
      </c>
      <c r="M224" s="169">
        <v>0</v>
      </c>
      <c r="N224" s="169">
        <v>0</v>
      </c>
      <c r="Q224" s="169">
        <v>501</v>
      </c>
      <c r="R224" s="170">
        <f t="shared" si="4"/>
        <v>1.3313373253493015</v>
      </c>
    </row>
    <row r="225" spans="1:18" hidden="1">
      <c r="A225" s="169" t="s">
        <v>651</v>
      </c>
      <c r="B225" s="169" t="s">
        <v>706</v>
      </c>
      <c r="C225" s="169" t="s">
        <v>674</v>
      </c>
      <c r="D225" s="169">
        <v>52</v>
      </c>
      <c r="E225" s="169">
        <v>151</v>
      </c>
      <c r="F225" s="169">
        <v>121</v>
      </c>
      <c r="G225" s="169">
        <v>22</v>
      </c>
      <c r="H225" s="169">
        <v>0</v>
      </c>
      <c r="I225" s="169">
        <v>0</v>
      </c>
      <c r="J225" s="169">
        <v>8</v>
      </c>
      <c r="K225" s="169">
        <v>0</v>
      </c>
      <c r="L225" s="169">
        <v>0</v>
      </c>
      <c r="M225" s="169">
        <v>0</v>
      </c>
      <c r="N225" s="169">
        <v>0</v>
      </c>
      <c r="Q225" s="169">
        <v>354</v>
      </c>
      <c r="R225" s="170">
        <f t="shared" si="4"/>
        <v>1.4322033898305084</v>
      </c>
    </row>
    <row r="226" spans="1:18" hidden="1">
      <c r="A226" s="169" t="s">
        <v>651</v>
      </c>
      <c r="B226" s="169" t="s">
        <v>706</v>
      </c>
      <c r="C226" s="169" t="s">
        <v>675</v>
      </c>
      <c r="D226" s="169">
        <v>28</v>
      </c>
      <c r="E226" s="169">
        <v>78</v>
      </c>
      <c r="F226" s="169">
        <v>54</v>
      </c>
      <c r="G226" s="169">
        <v>20</v>
      </c>
      <c r="H226" s="169">
        <v>12</v>
      </c>
      <c r="I226" s="169">
        <v>0</v>
      </c>
      <c r="J226" s="169">
        <v>0</v>
      </c>
      <c r="K226" s="169">
        <v>0</v>
      </c>
      <c r="L226" s="169">
        <v>0</v>
      </c>
      <c r="M226" s="169">
        <v>0</v>
      </c>
      <c r="N226" s="169">
        <v>0</v>
      </c>
      <c r="Q226" s="169">
        <v>193</v>
      </c>
      <c r="R226" s="170">
        <f t="shared" si="4"/>
        <v>1.5233160621761659</v>
      </c>
    </row>
    <row r="227" spans="1:18" hidden="1">
      <c r="A227" s="169" t="s">
        <v>651</v>
      </c>
      <c r="B227" s="169" t="s">
        <v>706</v>
      </c>
      <c r="C227" s="169" t="s">
        <v>682</v>
      </c>
      <c r="D227" s="169">
        <v>204</v>
      </c>
      <c r="E227" s="169">
        <v>389</v>
      </c>
      <c r="F227" s="169">
        <v>254</v>
      </c>
      <c r="G227" s="169">
        <v>64</v>
      </c>
      <c r="H227" s="169">
        <v>27</v>
      </c>
      <c r="I227" s="169">
        <v>12</v>
      </c>
      <c r="J227" s="169">
        <v>0</v>
      </c>
      <c r="K227" s="169">
        <v>0</v>
      </c>
      <c r="L227" s="169">
        <v>0</v>
      </c>
      <c r="M227" s="169">
        <v>0</v>
      </c>
      <c r="N227" s="169">
        <v>0</v>
      </c>
      <c r="Q227" s="169">
        <v>949</v>
      </c>
      <c r="R227" s="170">
        <f t="shared" si="4"/>
        <v>1.3245521601685986</v>
      </c>
    </row>
    <row r="228" spans="1:18" hidden="1">
      <c r="A228" s="169" t="s">
        <v>651</v>
      </c>
      <c r="B228" s="169" t="s">
        <v>706</v>
      </c>
      <c r="C228" s="169" t="s">
        <v>683</v>
      </c>
      <c r="D228" s="169">
        <v>49</v>
      </c>
      <c r="E228" s="169">
        <v>107</v>
      </c>
      <c r="F228" s="169">
        <v>23</v>
      </c>
      <c r="G228" s="169">
        <v>16</v>
      </c>
      <c r="H228" s="169">
        <v>0</v>
      </c>
      <c r="I228" s="169">
        <v>0</v>
      </c>
      <c r="J228" s="169">
        <v>0</v>
      </c>
      <c r="K228" s="169">
        <v>0</v>
      </c>
      <c r="L228" s="169">
        <v>0</v>
      </c>
      <c r="M228" s="169">
        <v>0</v>
      </c>
      <c r="N228" s="169">
        <v>0</v>
      </c>
      <c r="Q228" s="169">
        <v>195</v>
      </c>
      <c r="R228" s="170">
        <f t="shared" si="4"/>
        <v>1.0307692307692307</v>
      </c>
    </row>
    <row r="229" spans="1:18" hidden="1">
      <c r="A229" s="169" t="s">
        <v>651</v>
      </c>
      <c r="B229" s="169" t="s">
        <v>706</v>
      </c>
      <c r="C229" s="169" t="s">
        <v>684</v>
      </c>
      <c r="D229" s="169">
        <v>47</v>
      </c>
      <c r="E229" s="169">
        <v>176</v>
      </c>
      <c r="F229" s="169">
        <v>101</v>
      </c>
      <c r="G229" s="169">
        <v>32</v>
      </c>
      <c r="H229" s="169">
        <v>15</v>
      </c>
      <c r="I229" s="169">
        <v>0</v>
      </c>
      <c r="J229" s="169">
        <v>0</v>
      </c>
      <c r="K229" s="169">
        <v>0</v>
      </c>
      <c r="L229" s="169">
        <v>0</v>
      </c>
      <c r="M229" s="169">
        <v>0</v>
      </c>
      <c r="N229" s="169">
        <v>0</v>
      </c>
      <c r="Q229" s="169">
        <v>372</v>
      </c>
      <c r="R229" s="170">
        <f t="shared" si="4"/>
        <v>1.435483870967742</v>
      </c>
    </row>
    <row r="230" spans="1:18" hidden="1">
      <c r="A230" s="169" t="s">
        <v>651</v>
      </c>
      <c r="B230" s="169" t="s">
        <v>706</v>
      </c>
      <c r="C230" s="169" t="s">
        <v>685</v>
      </c>
      <c r="D230" s="169">
        <v>1771</v>
      </c>
      <c r="E230" s="169">
        <v>1170</v>
      </c>
      <c r="F230" s="169">
        <v>387</v>
      </c>
      <c r="G230" s="169">
        <v>76</v>
      </c>
      <c r="H230" s="169">
        <v>27</v>
      </c>
      <c r="I230" s="169">
        <v>2</v>
      </c>
      <c r="J230" s="169">
        <v>1</v>
      </c>
      <c r="K230" s="169">
        <v>1</v>
      </c>
      <c r="L230" s="169">
        <v>0</v>
      </c>
      <c r="M230" s="169">
        <v>0</v>
      </c>
      <c r="N230" s="169">
        <v>0</v>
      </c>
      <c r="Q230" s="169">
        <v>3433</v>
      </c>
      <c r="R230" s="170">
        <f t="shared" si="4"/>
        <v>0.67084182930381586</v>
      </c>
    </row>
    <row r="231" spans="1:18" hidden="1">
      <c r="A231" s="169" t="s">
        <v>651</v>
      </c>
      <c r="B231" s="169" t="s">
        <v>706</v>
      </c>
      <c r="C231" s="169" t="s">
        <v>686</v>
      </c>
      <c r="D231" s="169">
        <v>126</v>
      </c>
      <c r="E231" s="169">
        <v>280</v>
      </c>
      <c r="F231" s="169">
        <v>202</v>
      </c>
      <c r="G231" s="169">
        <v>43</v>
      </c>
      <c r="H231" s="169">
        <v>2</v>
      </c>
      <c r="I231" s="169">
        <v>0</v>
      </c>
      <c r="J231" s="169">
        <v>0</v>
      </c>
      <c r="K231" s="169">
        <v>0</v>
      </c>
      <c r="L231" s="169">
        <v>0</v>
      </c>
      <c r="M231" s="169">
        <v>0</v>
      </c>
      <c r="N231" s="169">
        <v>0</v>
      </c>
      <c r="Q231" s="169">
        <v>653</v>
      </c>
      <c r="R231" s="170">
        <f t="shared" si="4"/>
        <v>1.2572741194486983</v>
      </c>
    </row>
    <row r="232" spans="1:18" hidden="1">
      <c r="A232" s="169" t="s">
        <v>651</v>
      </c>
      <c r="B232" s="169" t="s">
        <v>706</v>
      </c>
      <c r="C232" s="169" t="s">
        <v>688</v>
      </c>
      <c r="D232" s="169">
        <v>33</v>
      </c>
      <c r="E232" s="169">
        <v>203</v>
      </c>
      <c r="F232" s="169">
        <v>171</v>
      </c>
      <c r="G232" s="169">
        <v>28</v>
      </c>
      <c r="H232" s="169">
        <v>23</v>
      </c>
      <c r="I232" s="169">
        <v>10</v>
      </c>
      <c r="J232" s="169">
        <v>0</v>
      </c>
      <c r="K232" s="169">
        <v>0</v>
      </c>
      <c r="L232" s="169">
        <v>0</v>
      </c>
      <c r="M232" s="169">
        <v>0</v>
      </c>
      <c r="N232" s="169">
        <v>0</v>
      </c>
      <c r="Q232" s="169">
        <v>467</v>
      </c>
      <c r="R232" s="170">
        <f t="shared" si="4"/>
        <v>1.6509635974304069</v>
      </c>
    </row>
    <row r="233" spans="1:18" hidden="1">
      <c r="A233" s="169" t="s">
        <v>651</v>
      </c>
      <c r="B233" s="169" t="s">
        <v>706</v>
      </c>
      <c r="C233" s="169" t="s">
        <v>689</v>
      </c>
      <c r="D233" s="169">
        <v>264</v>
      </c>
      <c r="E233" s="169">
        <v>396</v>
      </c>
      <c r="F233" s="169">
        <v>202</v>
      </c>
      <c r="G233" s="169">
        <v>38</v>
      </c>
      <c r="H233" s="169">
        <v>9</v>
      </c>
      <c r="I233" s="169">
        <v>0</v>
      </c>
      <c r="J233" s="169">
        <v>0</v>
      </c>
      <c r="K233" s="169">
        <v>0</v>
      </c>
      <c r="L233" s="169">
        <v>0</v>
      </c>
      <c r="M233" s="169">
        <v>0</v>
      </c>
      <c r="N233" s="169">
        <v>0</v>
      </c>
      <c r="Q233" s="169">
        <v>910</v>
      </c>
      <c r="R233" s="170">
        <f t="shared" si="4"/>
        <v>1.043956043956044</v>
      </c>
    </row>
    <row r="234" spans="1:18" hidden="1">
      <c r="A234" s="169" t="s">
        <v>651</v>
      </c>
      <c r="B234" s="169" t="s">
        <v>706</v>
      </c>
      <c r="C234" s="169" t="s">
        <v>690</v>
      </c>
      <c r="D234" s="169">
        <v>25</v>
      </c>
      <c r="E234" s="169">
        <v>73</v>
      </c>
      <c r="F234" s="169">
        <v>36</v>
      </c>
      <c r="G234" s="169">
        <v>3</v>
      </c>
      <c r="H234" s="169">
        <v>2</v>
      </c>
      <c r="I234" s="169">
        <v>1</v>
      </c>
      <c r="J234" s="169">
        <v>0</v>
      </c>
      <c r="K234" s="169">
        <v>0</v>
      </c>
      <c r="L234" s="169">
        <v>0</v>
      </c>
      <c r="M234" s="169">
        <v>0</v>
      </c>
      <c r="N234" s="169">
        <v>0</v>
      </c>
      <c r="Q234" s="169">
        <v>140</v>
      </c>
      <c r="R234" s="170">
        <f t="shared" si="4"/>
        <v>1.1928571428571428</v>
      </c>
    </row>
    <row r="235" spans="1:18" hidden="1">
      <c r="A235" s="169" t="s">
        <v>651</v>
      </c>
      <c r="B235" s="169" t="s">
        <v>706</v>
      </c>
      <c r="C235" s="169" t="s">
        <v>694</v>
      </c>
      <c r="D235" s="169">
        <v>153</v>
      </c>
      <c r="E235" s="169">
        <v>608</v>
      </c>
      <c r="F235" s="169">
        <v>443</v>
      </c>
      <c r="G235" s="169">
        <v>126</v>
      </c>
      <c r="H235" s="169">
        <v>33</v>
      </c>
      <c r="I235" s="169">
        <v>11</v>
      </c>
      <c r="J235" s="169">
        <v>2</v>
      </c>
      <c r="K235" s="169">
        <v>0</v>
      </c>
      <c r="L235" s="169">
        <v>0</v>
      </c>
      <c r="M235" s="169">
        <v>0</v>
      </c>
      <c r="N235" s="169">
        <v>0</v>
      </c>
      <c r="Q235" s="169">
        <v>1378</v>
      </c>
      <c r="R235" s="170">
        <f t="shared" si="4"/>
        <v>1.5029027576197387</v>
      </c>
    </row>
    <row r="236" spans="1:18" hidden="1">
      <c r="A236" s="169" t="s">
        <v>651</v>
      </c>
      <c r="B236" s="169" t="s">
        <v>706</v>
      </c>
      <c r="C236" s="169" t="s">
        <v>695</v>
      </c>
      <c r="D236" s="169">
        <v>23</v>
      </c>
      <c r="E236" s="169">
        <v>109</v>
      </c>
      <c r="F236" s="169">
        <v>139</v>
      </c>
      <c r="G236" s="169">
        <v>36</v>
      </c>
      <c r="H236" s="169">
        <v>39</v>
      </c>
      <c r="I236" s="169">
        <v>2</v>
      </c>
      <c r="J236" s="169">
        <v>5</v>
      </c>
      <c r="K236" s="169">
        <v>3</v>
      </c>
      <c r="L236" s="169">
        <v>2</v>
      </c>
      <c r="M236" s="169">
        <v>0</v>
      </c>
      <c r="N236" s="169">
        <v>0</v>
      </c>
      <c r="Q236" s="169">
        <v>357</v>
      </c>
      <c r="R236" s="170">
        <f t="shared" si="4"/>
        <v>2.0392156862745097</v>
      </c>
    </row>
    <row r="237" spans="1:18" hidden="1">
      <c r="A237" s="169" t="s">
        <v>651</v>
      </c>
      <c r="B237" s="169" t="s">
        <v>706</v>
      </c>
      <c r="C237" s="169" t="s">
        <v>696</v>
      </c>
      <c r="D237" s="169">
        <v>94</v>
      </c>
      <c r="E237" s="169">
        <v>230</v>
      </c>
      <c r="F237" s="169">
        <v>86</v>
      </c>
      <c r="G237" s="169">
        <v>23</v>
      </c>
      <c r="H237" s="169">
        <v>62</v>
      </c>
      <c r="I237" s="169">
        <v>8</v>
      </c>
      <c r="J237" s="169">
        <v>0</v>
      </c>
      <c r="K237" s="169">
        <v>0</v>
      </c>
      <c r="L237" s="169">
        <v>0</v>
      </c>
      <c r="M237" s="169">
        <v>0</v>
      </c>
      <c r="N237" s="169">
        <v>0</v>
      </c>
      <c r="Q237" s="169">
        <v>503</v>
      </c>
      <c r="R237" s="170">
        <f t="shared" si="4"/>
        <v>1.5089463220675945</v>
      </c>
    </row>
    <row r="238" spans="1:18" hidden="1">
      <c r="A238" s="169" t="s">
        <v>651</v>
      </c>
      <c r="B238" s="169" t="s">
        <v>706</v>
      </c>
      <c r="C238" s="169" t="s">
        <v>698</v>
      </c>
      <c r="D238" s="169">
        <v>79</v>
      </c>
      <c r="E238" s="169">
        <v>201</v>
      </c>
      <c r="F238" s="169">
        <v>149</v>
      </c>
      <c r="G238" s="169">
        <v>44</v>
      </c>
      <c r="H238" s="169">
        <v>8</v>
      </c>
      <c r="I238" s="169">
        <v>0</v>
      </c>
      <c r="J238" s="169">
        <v>4</v>
      </c>
      <c r="K238" s="169">
        <v>6</v>
      </c>
      <c r="L238" s="169">
        <v>0</v>
      </c>
      <c r="M238" s="169">
        <v>0</v>
      </c>
      <c r="N238" s="169">
        <v>0</v>
      </c>
      <c r="Q238" s="169">
        <v>490</v>
      </c>
      <c r="R238" s="170">
        <f t="shared" si="4"/>
        <v>1.4877551020408164</v>
      </c>
    </row>
    <row r="239" spans="1:18" hidden="1">
      <c r="A239" s="169" t="s">
        <v>651</v>
      </c>
      <c r="B239" s="169" t="s">
        <v>706</v>
      </c>
      <c r="C239" s="169" t="s">
        <v>699</v>
      </c>
      <c r="D239" s="169">
        <v>54</v>
      </c>
      <c r="E239" s="169">
        <v>117</v>
      </c>
      <c r="F239" s="169">
        <v>63</v>
      </c>
      <c r="G239" s="169">
        <v>20</v>
      </c>
      <c r="H239" s="169">
        <v>4</v>
      </c>
      <c r="I239" s="169">
        <v>1</v>
      </c>
      <c r="J239" s="169">
        <v>0</v>
      </c>
      <c r="K239" s="169">
        <v>0</v>
      </c>
      <c r="L239" s="169">
        <v>0</v>
      </c>
      <c r="M239" s="169">
        <v>0</v>
      </c>
      <c r="N239" s="169">
        <v>0</v>
      </c>
      <c r="Q239" s="169">
        <v>258</v>
      </c>
      <c r="R239" s="170">
        <f t="shared" si="4"/>
        <v>1.2558139534883721</v>
      </c>
    </row>
    <row r="240" spans="1:18" hidden="1">
      <c r="A240" s="169" t="s">
        <v>651</v>
      </c>
      <c r="B240" s="169" t="s">
        <v>706</v>
      </c>
      <c r="C240" s="169" t="s">
        <v>649</v>
      </c>
      <c r="D240" s="169">
        <v>5112</v>
      </c>
      <c r="E240" s="169">
        <v>9589</v>
      </c>
      <c r="F240" s="169">
        <v>5965</v>
      </c>
      <c r="G240" s="169">
        <v>1795</v>
      </c>
      <c r="H240" s="169">
        <v>746</v>
      </c>
      <c r="I240" s="169">
        <v>201</v>
      </c>
      <c r="J240" s="169">
        <v>70</v>
      </c>
      <c r="K240" s="169">
        <v>21</v>
      </c>
      <c r="L240" s="169">
        <v>9</v>
      </c>
      <c r="M240" s="169">
        <v>3</v>
      </c>
      <c r="N240" s="169">
        <v>0</v>
      </c>
      <c r="Q240" s="169">
        <v>23510</v>
      </c>
      <c r="R240" s="170">
        <f t="shared" si="4"/>
        <v>1.3423649510846449</v>
      </c>
    </row>
    <row r="241" spans="1:18" hidden="1">
      <c r="A241" s="169" t="s">
        <v>707</v>
      </c>
      <c r="B241" s="169" t="s">
        <v>652</v>
      </c>
      <c r="C241" s="169" t="s">
        <v>653</v>
      </c>
      <c r="D241" s="169">
        <v>4</v>
      </c>
      <c r="E241" s="169">
        <v>37</v>
      </c>
      <c r="F241" s="169">
        <v>29</v>
      </c>
      <c r="G241" s="169">
        <v>18</v>
      </c>
      <c r="H241" s="169">
        <v>2</v>
      </c>
      <c r="I241" s="169">
        <v>1</v>
      </c>
      <c r="J241" s="169" t="s">
        <v>708</v>
      </c>
      <c r="K241" s="169">
        <v>1</v>
      </c>
      <c r="L241" s="169" t="s">
        <v>708</v>
      </c>
      <c r="M241" s="169" t="s">
        <v>708</v>
      </c>
      <c r="N241" s="169" t="s">
        <v>708</v>
      </c>
      <c r="O241" s="169" t="s">
        <v>708</v>
      </c>
      <c r="P241" s="169" t="s">
        <v>708</v>
      </c>
      <c r="Q241" s="169">
        <v>92</v>
      </c>
      <c r="R241" s="169"/>
    </row>
    <row r="242" spans="1:18" hidden="1">
      <c r="A242" s="169" t="s">
        <v>707</v>
      </c>
      <c r="B242" s="169" t="s">
        <v>652</v>
      </c>
      <c r="C242" s="169" t="s">
        <v>654</v>
      </c>
      <c r="D242" s="169">
        <v>3</v>
      </c>
      <c r="E242" s="169">
        <v>22</v>
      </c>
      <c r="F242" s="169">
        <v>18</v>
      </c>
      <c r="G242" s="169">
        <v>3</v>
      </c>
      <c r="H242" s="169" t="s">
        <v>708</v>
      </c>
      <c r="I242" s="169">
        <v>1</v>
      </c>
      <c r="J242" s="169" t="s">
        <v>708</v>
      </c>
      <c r="K242" s="169">
        <v>1</v>
      </c>
      <c r="L242" s="169" t="s">
        <v>708</v>
      </c>
      <c r="M242" s="169" t="s">
        <v>708</v>
      </c>
      <c r="N242" s="169" t="s">
        <v>708</v>
      </c>
      <c r="O242" s="169" t="s">
        <v>708</v>
      </c>
      <c r="P242" s="169" t="s">
        <v>708</v>
      </c>
      <c r="Q242" s="169">
        <v>48</v>
      </c>
      <c r="R242" s="169"/>
    </row>
    <row r="243" spans="1:18" hidden="1">
      <c r="A243" s="169" t="s">
        <v>707</v>
      </c>
      <c r="B243" s="169" t="s">
        <v>652</v>
      </c>
      <c r="C243" s="169" t="s">
        <v>655</v>
      </c>
      <c r="D243" s="169">
        <v>4</v>
      </c>
      <c r="E243" s="169">
        <v>22</v>
      </c>
      <c r="F243" s="169">
        <v>16</v>
      </c>
      <c r="G243" s="169">
        <v>4</v>
      </c>
      <c r="H243" s="169">
        <v>2</v>
      </c>
      <c r="I243" s="169" t="s">
        <v>708</v>
      </c>
      <c r="J243" s="169" t="s">
        <v>708</v>
      </c>
      <c r="K243" s="169" t="s">
        <v>708</v>
      </c>
      <c r="L243" s="169" t="s">
        <v>708</v>
      </c>
      <c r="M243" s="169" t="s">
        <v>708</v>
      </c>
      <c r="N243" s="169" t="s">
        <v>708</v>
      </c>
      <c r="O243" s="169" t="s">
        <v>708</v>
      </c>
      <c r="P243" s="169" t="s">
        <v>708</v>
      </c>
      <c r="Q243" s="169">
        <v>48</v>
      </c>
      <c r="R243" s="169"/>
    </row>
    <row r="244" spans="1:18" hidden="1">
      <c r="A244" s="169" t="s">
        <v>707</v>
      </c>
      <c r="B244" s="169" t="s">
        <v>652</v>
      </c>
      <c r="C244" s="169" t="s">
        <v>656</v>
      </c>
      <c r="D244" s="169">
        <v>27</v>
      </c>
      <c r="E244" s="169">
        <v>240</v>
      </c>
      <c r="F244" s="169">
        <v>180</v>
      </c>
      <c r="G244" s="169">
        <v>93</v>
      </c>
      <c r="H244" s="169">
        <v>28</v>
      </c>
      <c r="I244" s="169">
        <v>10</v>
      </c>
      <c r="J244" s="169">
        <v>8</v>
      </c>
      <c r="K244" s="169">
        <v>1</v>
      </c>
      <c r="L244" s="169" t="s">
        <v>708</v>
      </c>
      <c r="M244" s="169" t="s">
        <v>708</v>
      </c>
      <c r="N244" s="169" t="s">
        <v>708</v>
      </c>
      <c r="O244" s="169" t="s">
        <v>708</v>
      </c>
      <c r="P244" s="169" t="s">
        <v>708</v>
      </c>
      <c r="Q244" s="169">
        <v>587</v>
      </c>
      <c r="R244" s="169"/>
    </row>
    <row r="245" spans="1:18" hidden="1">
      <c r="A245" s="169" t="s">
        <v>707</v>
      </c>
      <c r="B245" s="169" t="s">
        <v>652</v>
      </c>
      <c r="C245" s="169" t="s">
        <v>288</v>
      </c>
      <c r="D245" s="169">
        <v>314</v>
      </c>
      <c r="E245" s="169">
        <v>1965</v>
      </c>
      <c r="F245" s="169">
        <v>2019</v>
      </c>
      <c r="G245" s="169">
        <v>807</v>
      </c>
      <c r="H245" s="169">
        <v>298</v>
      </c>
      <c r="I245" s="169">
        <v>95</v>
      </c>
      <c r="J245" s="169">
        <v>39</v>
      </c>
      <c r="K245" s="169">
        <v>8</v>
      </c>
      <c r="L245" s="169">
        <v>6</v>
      </c>
      <c r="M245" s="169">
        <v>2</v>
      </c>
      <c r="N245" s="169" t="s">
        <v>708</v>
      </c>
      <c r="O245" s="169">
        <v>1</v>
      </c>
      <c r="P245" s="169">
        <v>2</v>
      </c>
      <c r="Q245" s="169">
        <v>5556</v>
      </c>
      <c r="R245" s="169"/>
    </row>
    <row r="246" spans="1:18" hidden="1">
      <c r="A246" s="169" t="s">
        <v>707</v>
      </c>
      <c r="B246" s="169" t="s">
        <v>652</v>
      </c>
      <c r="C246" s="169" t="s">
        <v>657</v>
      </c>
      <c r="D246" s="169">
        <v>4</v>
      </c>
      <c r="E246" s="169">
        <v>32</v>
      </c>
      <c r="F246" s="169">
        <v>31</v>
      </c>
      <c r="G246" s="169">
        <v>12</v>
      </c>
      <c r="H246" s="169">
        <v>5</v>
      </c>
      <c r="I246" s="169">
        <v>4</v>
      </c>
      <c r="J246" s="169" t="s">
        <v>708</v>
      </c>
      <c r="K246" s="169" t="s">
        <v>708</v>
      </c>
      <c r="L246" s="169" t="s">
        <v>708</v>
      </c>
      <c r="M246" s="169" t="s">
        <v>708</v>
      </c>
      <c r="N246" s="169" t="s">
        <v>708</v>
      </c>
      <c r="O246" s="169" t="s">
        <v>708</v>
      </c>
      <c r="P246" s="169" t="s">
        <v>708</v>
      </c>
      <c r="Q246" s="169">
        <v>88</v>
      </c>
      <c r="R246" s="169"/>
    </row>
    <row r="247" spans="1:18" hidden="1">
      <c r="A247" s="169" t="s">
        <v>707</v>
      </c>
      <c r="B247" s="169" t="s">
        <v>652</v>
      </c>
      <c r="C247" s="169" t="s">
        <v>658</v>
      </c>
      <c r="D247" s="169">
        <v>12</v>
      </c>
      <c r="E247" s="169">
        <v>24</v>
      </c>
      <c r="F247" s="169">
        <v>15</v>
      </c>
      <c r="G247" s="169">
        <v>6</v>
      </c>
      <c r="H247" s="169">
        <v>1</v>
      </c>
      <c r="I247" s="169" t="s">
        <v>708</v>
      </c>
      <c r="J247" s="169" t="s">
        <v>708</v>
      </c>
      <c r="K247" s="169" t="s">
        <v>708</v>
      </c>
      <c r="L247" s="169" t="s">
        <v>708</v>
      </c>
      <c r="M247" s="169" t="s">
        <v>708</v>
      </c>
      <c r="N247" s="169" t="s">
        <v>708</v>
      </c>
      <c r="O247" s="169" t="s">
        <v>708</v>
      </c>
      <c r="P247" s="169" t="s">
        <v>708</v>
      </c>
      <c r="Q247" s="169">
        <v>58</v>
      </c>
      <c r="R247" s="169"/>
    </row>
    <row r="248" spans="1:18" hidden="1">
      <c r="A248" s="169" t="s">
        <v>707</v>
      </c>
      <c r="B248" s="169" t="s">
        <v>652</v>
      </c>
      <c r="C248" s="169" t="s">
        <v>659</v>
      </c>
      <c r="D248" s="169">
        <v>7</v>
      </c>
      <c r="E248" s="169">
        <v>22</v>
      </c>
      <c r="F248" s="169">
        <v>23</v>
      </c>
      <c r="G248" s="169">
        <v>14</v>
      </c>
      <c r="H248" s="169">
        <v>4</v>
      </c>
      <c r="I248" s="169" t="s">
        <v>708</v>
      </c>
      <c r="J248" s="169" t="s">
        <v>708</v>
      </c>
      <c r="K248" s="169" t="s">
        <v>708</v>
      </c>
      <c r="L248" s="169" t="s">
        <v>708</v>
      </c>
      <c r="M248" s="169" t="s">
        <v>708</v>
      </c>
      <c r="N248" s="169" t="s">
        <v>708</v>
      </c>
      <c r="O248" s="169" t="s">
        <v>708</v>
      </c>
      <c r="P248" s="169" t="s">
        <v>708</v>
      </c>
      <c r="Q248" s="169">
        <v>70</v>
      </c>
      <c r="R248" s="169"/>
    </row>
    <row r="249" spans="1:18" hidden="1">
      <c r="A249" s="169" t="s">
        <v>707</v>
      </c>
      <c r="B249" s="169" t="s">
        <v>652</v>
      </c>
      <c r="C249" s="169" t="s">
        <v>660</v>
      </c>
      <c r="D249" s="169">
        <v>19</v>
      </c>
      <c r="E249" s="169">
        <v>207</v>
      </c>
      <c r="F249" s="169">
        <v>170</v>
      </c>
      <c r="G249" s="169">
        <v>48</v>
      </c>
      <c r="H249" s="169">
        <v>14</v>
      </c>
      <c r="I249" s="169">
        <v>7</v>
      </c>
      <c r="J249" s="169">
        <v>2</v>
      </c>
      <c r="K249" s="169">
        <v>1</v>
      </c>
      <c r="L249" s="169" t="s">
        <v>708</v>
      </c>
      <c r="M249" s="169" t="s">
        <v>708</v>
      </c>
      <c r="N249" s="169">
        <v>1</v>
      </c>
      <c r="O249" s="169" t="s">
        <v>708</v>
      </c>
      <c r="P249" s="169" t="s">
        <v>708</v>
      </c>
      <c r="Q249" s="169">
        <v>469</v>
      </c>
      <c r="R249" s="169"/>
    </row>
    <row r="250" spans="1:18" hidden="1">
      <c r="A250" s="169" t="s">
        <v>707</v>
      </c>
      <c r="B250" s="169" t="s">
        <v>652</v>
      </c>
      <c r="C250" s="169" t="s">
        <v>661</v>
      </c>
      <c r="D250" s="169">
        <v>197</v>
      </c>
      <c r="E250" s="169">
        <v>786</v>
      </c>
      <c r="F250" s="169">
        <v>657</v>
      </c>
      <c r="G250" s="169">
        <v>218</v>
      </c>
      <c r="H250" s="169">
        <v>67</v>
      </c>
      <c r="I250" s="169">
        <v>18</v>
      </c>
      <c r="J250" s="169">
        <v>7</v>
      </c>
      <c r="K250" s="169" t="s">
        <v>708</v>
      </c>
      <c r="L250" s="169" t="s">
        <v>708</v>
      </c>
      <c r="M250" s="169" t="s">
        <v>708</v>
      </c>
      <c r="N250" s="169" t="s">
        <v>708</v>
      </c>
      <c r="O250" s="169" t="s">
        <v>708</v>
      </c>
      <c r="P250" s="169" t="s">
        <v>708</v>
      </c>
      <c r="Q250" s="169">
        <v>1950</v>
      </c>
      <c r="R250" s="169"/>
    </row>
    <row r="251" spans="1:18" hidden="1">
      <c r="A251" s="169" t="s">
        <v>707</v>
      </c>
      <c r="B251" s="169" t="s">
        <v>652</v>
      </c>
      <c r="C251" s="169" t="s">
        <v>662</v>
      </c>
      <c r="D251" s="169">
        <v>5</v>
      </c>
      <c r="E251" s="169">
        <v>13</v>
      </c>
      <c r="F251" s="169">
        <v>25</v>
      </c>
      <c r="G251" s="169">
        <v>10</v>
      </c>
      <c r="H251" s="169">
        <v>1</v>
      </c>
      <c r="I251" s="169">
        <v>1</v>
      </c>
      <c r="J251" s="169" t="s">
        <v>708</v>
      </c>
      <c r="K251" s="169" t="s">
        <v>708</v>
      </c>
      <c r="L251" s="169" t="s">
        <v>708</v>
      </c>
      <c r="M251" s="169" t="s">
        <v>708</v>
      </c>
      <c r="N251" s="169" t="s">
        <v>708</v>
      </c>
      <c r="O251" s="169" t="s">
        <v>708</v>
      </c>
      <c r="P251" s="169" t="s">
        <v>708</v>
      </c>
      <c r="Q251" s="169">
        <v>55</v>
      </c>
      <c r="R251" s="169"/>
    </row>
    <row r="252" spans="1:18" hidden="1">
      <c r="A252" s="169" t="s">
        <v>707</v>
      </c>
      <c r="B252" s="169" t="s">
        <v>652</v>
      </c>
      <c r="C252" s="169" t="s">
        <v>663</v>
      </c>
      <c r="D252" s="169">
        <v>64</v>
      </c>
      <c r="E252" s="169">
        <v>471</v>
      </c>
      <c r="F252" s="169">
        <v>462</v>
      </c>
      <c r="G252" s="169">
        <v>147</v>
      </c>
      <c r="H252" s="169">
        <v>39</v>
      </c>
      <c r="I252" s="169">
        <v>17</v>
      </c>
      <c r="J252" s="169">
        <v>4</v>
      </c>
      <c r="K252" s="169">
        <v>2</v>
      </c>
      <c r="L252" s="169" t="s">
        <v>708</v>
      </c>
      <c r="M252" s="169">
        <v>1</v>
      </c>
      <c r="N252" s="169" t="s">
        <v>708</v>
      </c>
      <c r="O252" s="169" t="s">
        <v>708</v>
      </c>
      <c r="P252" s="169" t="s">
        <v>708</v>
      </c>
      <c r="Q252" s="169">
        <v>1207</v>
      </c>
      <c r="R252" s="169"/>
    </row>
    <row r="253" spans="1:18" hidden="1">
      <c r="A253" s="169" t="s">
        <v>707</v>
      </c>
      <c r="B253" s="169" t="s">
        <v>652</v>
      </c>
      <c r="C253" s="169" t="s">
        <v>664</v>
      </c>
      <c r="D253" s="169">
        <v>4</v>
      </c>
      <c r="E253" s="169">
        <v>32</v>
      </c>
      <c r="F253" s="169">
        <v>41</v>
      </c>
      <c r="G253" s="169">
        <v>13</v>
      </c>
      <c r="H253" s="169">
        <v>8</v>
      </c>
      <c r="I253" s="169">
        <v>1</v>
      </c>
      <c r="J253" s="169" t="s">
        <v>708</v>
      </c>
      <c r="K253" s="169" t="s">
        <v>708</v>
      </c>
      <c r="L253" s="169">
        <v>1</v>
      </c>
      <c r="M253" s="169" t="s">
        <v>708</v>
      </c>
      <c r="N253" s="169" t="s">
        <v>708</v>
      </c>
      <c r="O253" s="169" t="s">
        <v>708</v>
      </c>
      <c r="P253" s="169" t="s">
        <v>708</v>
      </c>
      <c r="Q253" s="169">
        <v>100</v>
      </c>
      <c r="R253" s="169"/>
    </row>
    <row r="254" spans="1:18" hidden="1">
      <c r="A254" s="169" t="s">
        <v>707</v>
      </c>
      <c r="B254" s="169" t="s">
        <v>652</v>
      </c>
      <c r="C254" s="169" t="s">
        <v>665</v>
      </c>
      <c r="D254" s="169">
        <v>10</v>
      </c>
      <c r="E254" s="169">
        <v>61</v>
      </c>
      <c r="F254" s="169">
        <v>68</v>
      </c>
      <c r="G254" s="169">
        <v>21</v>
      </c>
      <c r="H254" s="169">
        <v>8</v>
      </c>
      <c r="I254" s="169">
        <v>2</v>
      </c>
      <c r="J254" s="169" t="s">
        <v>708</v>
      </c>
      <c r="K254" s="169">
        <v>1</v>
      </c>
      <c r="L254" s="169" t="s">
        <v>708</v>
      </c>
      <c r="M254" s="169" t="s">
        <v>708</v>
      </c>
      <c r="N254" s="169" t="s">
        <v>708</v>
      </c>
      <c r="O254" s="169" t="s">
        <v>708</v>
      </c>
      <c r="P254" s="169" t="s">
        <v>708</v>
      </c>
      <c r="Q254" s="169">
        <v>171</v>
      </c>
      <c r="R254" s="169"/>
    </row>
    <row r="255" spans="1:18" hidden="1">
      <c r="A255" s="169" t="s">
        <v>707</v>
      </c>
      <c r="B255" s="169" t="s">
        <v>652</v>
      </c>
      <c r="C255" s="169" t="s">
        <v>666</v>
      </c>
      <c r="D255" s="169">
        <v>3</v>
      </c>
      <c r="E255" s="169">
        <v>41</v>
      </c>
      <c r="F255" s="169">
        <v>41</v>
      </c>
      <c r="G255" s="169">
        <v>10</v>
      </c>
      <c r="H255" s="169" t="s">
        <v>708</v>
      </c>
      <c r="I255" s="169" t="s">
        <v>708</v>
      </c>
      <c r="J255" s="169" t="s">
        <v>708</v>
      </c>
      <c r="K255" s="169" t="s">
        <v>708</v>
      </c>
      <c r="L255" s="169" t="s">
        <v>708</v>
      </c>
      <c r="M255" s="169" t="s">
        <v>708</v>
      </c>
      <c r="N255" s="169" t="s">
        <v>708</v>
      </c>
      <c r="O255" s="169" t="s">
        <v>708</v>
      </c>
      <c r="P255" s="169" t="s">
        <v>708</v>
      </c>
      <c r="Q255" s="169">
        <v>95</v>
      </c>
      <c r="R255" s="169"/>
    </row>
    <row r="256" spans="1:18" hidden="1">
      <c r="A256" s="169" t="s">
        <v>707</v>
      </c>
      <c r="B256" s="169" t="s">
        <v>652</v>
      </c>
      <c r="C256" s="169" t="s">
        <v>667</v>
      </c>
      <c r="D256" s="169">
        <v>1</v>
      </c>
      <c r="E256" s="169">
        <v>24</v>
      </c>
      <c r="F256" s="169">
        <v>31</v>
      </c>
      <c r="G256" s="169">
        <v>9</v>
      </c>
      <c r="H256" s="169">
        <v>4</v>
      </c>
      <c r="I256" s="169" t="s">
        <v>708</v>
      </c>
      <c r="J256" s="169" t="s">
        <v>708</v>
      </c>
      <c r="K256" s="169" t="s">
        <v>708</v>
      </c>
      <c r="L256" s="169" t="s">
        <v>708</v>
      </c>
      <c r="M256" s="169" t="s">
        <v>708</v>
      </c>
      <c r="N256" s="169" t="s">
        <v>708</v>
      </c>
      <c r="O256" s="169" t="s">
        <v>708</v>
      </c>
      <c r="P256" s="169" t="s">
        <v>708</v>
      </c>
      <c r="Q256" s="169">
        <v>69</v>
      </c>
      <c r="R256" s="169"/>
    </row>
    <row r="257" spans="1:18" hidden="1">
      <c r="A257" s="169" t="s">
        <v>707</v>
      </c>
      <c r="B257" s="169" t="s">
        <v>652</v>
      </c>
      <c r="C257" s="169" t="s">
        <v>668</v>
      </c>
      <c r="D257" s="169">
        <v>1</v>
      </c>
      <c r="E257" s="169">
        <v>21</v>
      </c>
      <c r="F257" s="169">
        <v>20</v>
      </c>
      <c r="G257" s="169">
        <v>7</v>
      </c>
      <c r="H257" s="169" t="s">
        <v>708</v>
      </c>
      <c r="I257" s="169">
        <v>1</v>
      </c>
      <c r="J257" s="169" t="s">
        <v>708</v>
      </c>
      <c r="K257" s="169" t="s">
        <v>708</v>
      </c>
      <c r="L257" s="169">
        <v>1</v>
      </c>
      <c r="M257" s="169" t="s">
        <v>708</v>
      </c>
      <c r="N257" s="169" t="s">
        <v>708</v>
      </c>
      <c r="O257" s="169" t="s">
        <v>708</v>
      </c>
      <c r="P257" s="169" t="s">
        <v>708</v>
      </c>
      <c r="Q257" s="169">
        <v>51</v>
      </c>
      <c r="R257" s="169"/>
    </row>
    <row r="258" spans="1:18" hidden="1">
      <c r="A258" s="169" t="s">
        <v>707</v>
      </c>
      <c r="B258" s="169" t="s">
        <v>652</v>
      </c>
      <c r="C258" s="169" t="s">
        <v>669</v>
      </c>
      <c r="D258" s="169">
        <v>5</v>
      </c>
      <c r="E258" s="169">
        <v>23</v>
      </c>
      <c r="F258" s="169">
        <v>22</v>
      </c>
      <c r="G258" s="169">
        <v>3</v>
      </c>
      <c r="H258" s="169">
        <v>1</v>
      </c>
      <c r="I258" s="169" t="s">
        <v>708</v>
      </c>
      <c r="J258" s="169" t="s">
        <v>708</v>
      </c>
      <c r="K258" s="169" t="s">
        <v>708</v>
      </c>
      <c r="L258" s="169" t="s">
        <v>708</v>
      </c>
      <c r="M258" s="169" t="s">
        <v>708</v>
      </c>
      <c r="N258" s="169" t="s">
        <v>708</v>
      </c>
      <c r="O258" s="169" t="s">
        <v>708</v>
      </c>
      <c r="P258" s="169">
        <v>1</v>
      </c>
      <c r="Q258" s="169">
        <v>55</v>
      </c>
      <c r="R258" s="169"/>
    </row>
    <row r="259" spans="1:18" hidden="1">
      <c r="A259" s="169" t="s">
        <v>707</v>
      </c>
      <c r="B259" s="169" t="s">
        <v>652</v>
      </c>
      <c r="C259" s="169" t="s">
        <v>670</v>
      </c>
      <c r="D259" s="169">
        <v>8</v>
      </c>
      <c r="E259" s="169">
        <v>35</v>
      </c>
      <c r="F259" s="169">
        <v>31</v>
      </c>
      <c r="G259" s="169">
        <v>4</v>
      </c>
      <c r="H259" s="169" t="s">
        <v>708</v>
      </c>
      <c r="I259" s="169">
        <v>1</v>
      </c>
      <c r="J259" s="169" t="s">
        <v>708</v>
      </c>
      <c r="K259" s="169" t="s">
        <v>708</v>
      </c>
      <c r="L259" s="169" t="s">
        <v>708</v>
      </c>
      <c r="M259" s="169" t="s">
        <v>708</v>
      </c>
      <c r="N259" s="169" t="s">
        <v>708</v>
      </c>
      <c r="O259" s="169" t="s">
        <v>708</v>
      </c>
      <c r="P259" s="169" t="s">
        <v>708</v>
      </c>
      <c r="Q259" s="169">
        <v>79</v>
      </c>
      <c r="R259" s="169"/>
    </row>
    <row r="260" spans="1:18" hidden="1">
      <c r="A260" s="169" t="s">
        <v>707</v>
      </c>
      <c r="B260" s="169" t="s">
        <v>652</v>
      </c>
      <c r="C260" s="169" t="s">
        <v>671</v>
      </c>
      <c r="D260" s="169">
        <v>26</v>
      </c>
      <c r="E260" s="169">
        <v>105</v>
      </c>
      <c r="F260" s="169">
        <v>86</v>
      </c>
      <c r="G260" s="169">
        <v>27</v>
      </c>
      <c r="H260" s="169">
        <v>4</v>
      </c>
      <c r="I260" s="169">
        <v>6</v>
      </c>
      <c r="J260" s="169">
        <v>1</v>
      </c>
      <c r="K260" s="169" t="s">
        <v>708</v>
      </c>
      <c r="L260" s="169" t="s">
        <v>708</v>
      </c>
      <c r="M260" s="169" t="s">
        <v>708</v>
      </c>
      <c r="N260" s="169" t="s">
        <v>708</v>
      </c>
      <c r="O260" s="169" t="s">
        <v>708</v>
      </c>
      <c r="P260" s="169" t="s">
        <v>708</v>
      </c>
      <c r="Q260" s="169">
        <v>255</v>
      </c>
      <c r="R260" s="169"/>
    </row>
    <row r="261" spans="1:18" hidden="1">
      <c r="A261" s="169" t="s">
        <v>707</v>
      </c>
      <c r="B261" s="169" t="s">
        <v>652</v>
      </c>
      <c r="C261" s="169" t="s">
        <v>672</v>
      </c>
      <c r="D261" s="169">
        <v>8</v>
      </c>
      <c r="E261" s="169">
        <v>6</v>
      </c>
      <c r="F261" s="169">
        <v>12</v>
      </c>
      <c r="G261" s="169">
        <v>5</v>
      </c>
      <c r="H261" s="169">
        <v>3</v>
      </c>
      <c r="I261" s="169" t="s">
        <v>708</v>
      </c>
      <c r="J261" s="169" t="s">
        <v>708</v>
      </c>
      <c r="K261" s="169" t="s">
        <v>708</v>
      </c>
      <c r="L261" s="169" t="s">
        <v>708</v>
      </c>
      <c r="M261" s="169" t="s">
        <v>708</v>
      </c>
      <c r="N261" s="169" t="s">
        <v>708</v>
      </c>
      <c r="O261" s="169" t="s">
        <v>708</v>
      </c>
      <c r="P261" s="169" t="s">
        <v>708</v>
      </c>
      <c r="Q261" s="169">
        <v>34</v>
      </c>
      <c r="R261" s="169"/>
    </row>
    <row r="262" spans="1:18" hidden="1">
      <c r="A262" s="169" t="s">
        <v>707</v>
      </c>
      <c r="B262" s="169" t="s">
        <v>652</v>
      </c>
      <c r="C262" s="169" t="s">
        <v>673</v>
      </c>
      <c r="D262" s="169">
        <v>13</v>
      </c>
      <c r="E262" s="169">
        <v>46</v>
      </c>
      <c r="F262" s="169">
        <v>55</v>
      </c>
      <c r="G262" s="169">
        <v>17</v>
      </c>
      <c r="H262" s="169">
        <v>8</v>
      </c>
      <c r="I262" s="169" t="s">
        <v>708</v>
      </c>
      <c r="J262" s="169" t="s">
        <v>708</v>
      </c>
      <c r="K262" s="169" t="s">
        <v>708</v>
      </c>
      <c r="L262" s="169" t="s">
        <v>708</v>
      </c>
      <c r="M262" s="169" t="s">
        <v>708</v>
      </c>
      <c r="N262" s="169" t="s">
        <v>708</v>
      </c>
      <c r="O262" s="169" t="s">
        <v>708</v>
      </c>
      <c r="P262" s="169" t="s">
        <v>708</v>
      </c>
      <c r="Q262" s="169">
        <v>139</v>
      </c>
      <c r="R262" s="169"/>
    </row>
    <row r="263" spans="1:18" hidden="1">
      <c r="A263" s="169" t="s">
        <v>707</v>
      </c>
      <c r="B263" s="169" t="s">
        <v>652</v>
      </c>
      <c r="C263" s="169" t="s">
        <v>674</v>
      </c>
      <c r="D263" s="169">
        <v>5</v>
      </c>
      <c r="E263" s="169">
        <v>29</v>
      </c>
      <c r="F263" s="169">
        <v>38</v>
      </c>
      <c r="G263" s="169">
        <v>10</v>
      </c>
      <c r="H263" s="169">
        <v>5</v>
      </c>
      <c r="I263" s="169">
        <v>2</v>
      </c>
      <c r="J263" s="169">
        <v>1</v>
      </c>
      <c r="K263" s="169" t="s">
        <v>708</v>
      </c>
      <c r="L263" s="169" t="s">
        <v>708</v>
      </c>
      <c r="M263" s="169" t="s">
        <v>708</v>
      </c>
      <c r="N263" s="169" t="s">
        <v>708</v>
      </c>
      <c r="O263" s="169" t="s">
        <v>708</v>
      </c>
      <c r="P263" s="169" t="s">
        <v>708</v>
      </c>
      <c r="Q263" s="169">
        <v>90</v>
      </c>
      <c r="R263" s="169"/>
    </row>
    <row r="264" spans="1:18" hidden="1">
      <c r="A264" s="169" t="s">
        <v>707</v>
      </c>
      <c r="B264" s="169" t="s">
        <v>652</v>
      </c>
      <c r="C264" s="169" t="s">
        <v>675</v>
      </c>
      <c r="D264" s="169">
        <v>5</v>
      </c>
      <c r="E264" s="169">
        <v>37</v>
      </c>
      <c r="F264" s="169">
        <v>41</v>
      </c>
      <c r="G264" s="169">
        <v>12</v>
      </c>
      <c r="H264" s="169">
        <v>7</v>
      </c>
      <c r="I264" s="169">
        <v>1</v>
      </c>
      <c r="J264" s="169">
        <v>1</v>
      </c>
      <c r="K264" s="169" t="s">
        <v>708</v>
      </c>
      <c r="L264" s="169" t="s">
        <v>708</v>
      </c>
      <c r="M264" s="169">
        <v>1</v>
      </c>
      <c r="N264" s="169" t="s">
        <v>708</v>
      </c>
      <c r="O264" s="169" t="s">
        <v>708</v>
      </c>
      <c r="P264" s="169" t="s">
        <v>708</v>
      </c>
      <c r="Q264" s="169">
        <v>105</v>
      </c>
      <c r="R264" s="169"/>
    </row>
    <row r="265" spans="1:18" hidden="1">
      <c r="A265" s="169" t="s">
        <v>707</v>
      </c>
      <c r="B265" s="169" t="s">
        <v>652</v>
      </c>
      <c r="C265" s="169" t="s">
        <v>676</v>
      </c>
      <c r="D265" s="169">
        <v>1</v>
      </c>
      <c r="E265" s="169">
        <v>13</v>
      </c>
      <c r="F265" s="169">
        <v>11</v>
      </c>
      <c r="G265" s="169">
        <v>4</v>
      </c>
      <c r="H265" s="169" t="s">
        <v>708</v>
      </c>
      <c r="I265" s="169" t="s">
        <v>708</v>
      </c>
      <c r="J265" s="169" t="s">
        <v>708</v>
      </c>
      <c r="K265" s="169" t="s">
        <v>708</v>
      </c>
      <c r="L265" s="169" t="s">
        <v>708</v>
      </c>
      <c r="M265" s="169" t="s">
        <v>708</v>
      </c>
      <c r="N265" s="169" t="s">
        <v>708</v>
      </c>
      <c r="O265" s="169" t="s">
        <v>708</v>
      </c>
      <c r="P265" s="169" t="s">
        <v>708</v>
      </c>
      <c r="Q265" s="169">
        <v>29</v>
      </c>
      <c r="R265" s="169"/>
    </row>
    <row r="266" spans="1:18" hidden="1">
      <c r="A266" s="169" t="s">
        <v>707</v>
      </c>
      <c r="B266" s="169" t="s">
        <v>652</v>
      </c>
      <c r="C266" s="169" t="s">
        <v>677</v>
      </c>
      <c r="D266" s="169">
        <v>5</v>
      </c>
      <c r="E266" s="169">
        <v>29</v>
      </c>
      <c r="F266" s="169">
        <v>38</v>
      </c>
      <c r="G266" s="169">
        <v>14</v>
      </c>
      <c r="H266" s="169">
        <v>4</v>
      </c>
      <c r="I266" s="169">
        <v>2</v>
      </c>
      <c r="J266" s="169" t="s">
        <v>708</v>
      </c>
      <c r="K266" s="169">
        <v>2</v>
      </c>
      <c r="L266" s="169" t="s">
        <v>708</v>
      </c>
      <c r="M266" s="169" t="s">
        <v>708</v>
      </c>
      <c r="N266" s="169" t="s">
        <v>708</v>
      </c>
      <c r="O266" s="169" t="s">
        <v>708</v>
      </c>
      <c r="P266" s="169" t="s">
        <v>708</v>
      </c>
      <c r="Q266" s="169">
        <v>94</v>
      </c>
      <c r="R266" s="169"/>
    </row>
    <row r="267" spans="1:18" hidden="1">
      <c r="A267" s="169" t="s">
        <v>707</v>
      </c>
      <c r="B267" s="169" t="s">
        <v>652</v>
      </c>
      <c r="C267" s="169" t="s">
        <v>678</v>
      </c>
      <c r="D267" s="169">
        <v>124</v>
      </c>
      <c r="E267" s="169">
        <v>541</v>
      </c>
      <c r="F267" s="169">
        <v>440</v>
      </c>
      <c r="G267" s="169">
        <v>132</v>
      </c>
      <c r="H267" s="169">
        <v>31</v>
      </c>
      <c r="I267" s="169">
        <v>10</v>
      </c>
      <c r="J267" s="169">
        <v>4</v>
      </c>
      <c r="K267" s="169">
        <v>2</v>
      </c>
      <c r="L267" s="169" t="s">
        <v>708</v>
      </c>
      <c r="M267" s="169" t="s">
        <v>708</v>
      </c>
      <c r="N267" s="169" t="s">
        <v>708</v>
      </c>
      <c r="O267" s="169" t="s">
        <v>708</v>
      </c>
      <c r="P267" s="169" t="s">
        <v>708</v>
      </c>
      <c r="Q267" s="169">
        <v>1284</v>
      </c>
      <c r="R267" s="169"/>
    </row>
    <row r="268" spans="1:18" hidden="1">
      <c r="A268" s="169" t="s">
        <v>707</v>
      </c>
      <c r="B268" s="169" t="s">
        <v>652</v>
      </c>
      <c r="C268" s="169" t="s">
        <v>679</v>
      </c>
      <c r="D268" s="169">
        <v>4</v>
      </c>
      <c r="E268" s="169">
        <v>27</v>
      </c>
      <c r="F268" s="169">
        <v>30</v>
      </c>
      <c r="G268" s="169">
        <v>12</v>
      </c>
      <c r="H268" s="169">
        <v>7</v>
      </c>
      <c r="I268" s="169" t="s">
        <v>708</v>
      </c>
      <c r="J268" s="169">
        <v>1</v>
      </c>
      <c r="K268" s="169" t="s">
        <v>708</v>
      </c>
      <c r="L268" s="169" t="s">
        <v>708</v>
      </c>
      <c r="M268" s="169" t="s">
        <v>708</v>
      </c>
      <c r="N268" s="169" t="s">
        <v>708</v>
      </c>
      <c r="O268" s="169" t="s">
        <v>708</v>
      </c>
      <c r="P268" s="169" t="s">
        <v>708</v>
      </c>
      <c r="Q268" s="169">
        <v>81</v>
      </c>
      <c r="R268" s="169"/>
    </row>
    <row r="269" spans="1:18" hidden="1">
      <c r="A269" s="169" t="s">
        <v>707</v>
      </c>
      <c r="B269" s="169" t="s">
        <v>652</v>
      </c>
      <c r="C269" s="169" t="s">
        <v>680</v>
      </c>
      <c r="D269" s="169">
        <v>5</v>
      </c>
      <c r="E269" s="169">
        <v>30</v>
      </c>
      <c r="F269" s="169">
        <v>34</v>
      </c>
      <c r="G269" s="169">
        <v>9</v>
      </c>
      <c r="H269" s="169">
        <v>4</v>
      </c>
      <c r="I269" s="169">
        <v>1</v>
      </c>
      <c r="J269" s="169" t="s">
        <v>708</v>
      </c>
      <c r="K269" s="169" t="s">
        <v>708</v>
      </c>
      <c r="L269" s="169" t="s">
        <v>708</v>
      </c>
      <c r="M269" s="169" t="s">
        <v>708</v>
      </c>
      <c r="N269" s="169" t="s">
        <v>708</v>
      </c>
      <c r="O269" s="169" t="s">
        <v>708</v>
      </c>
      <c r="P269" s="169" t="s">
        <v>708</v>
      </c>
      <c r="Q269" s="169">
        <v>83</v>
      </c>
      <c r="R269" s="169"/>
    </row>
    <row r="270" spans="1:18" hidden="1">
      <c r="A270" s="169" t="s">
        <v>707</v>
      </c>
      <c r="B270" s="169" t="s">
        <v>652</v>
      </c>
      <c r="C270" s="169" t="s">
        <v>681</v>
      </c>
      <c r="D270" s="169">
        <v>3</v>
      </c>
      <c r="E270" s="169">
        <v>14</v>
      </c>
      <c r="F270" s="169">
        <v>12</v>
      </c>
      <c r="G270" s="169">
        <v>2</v>
      </c>
      <c r="H270" s="169">
        <v>4</v>
      </c>
      <c r="I270" s="169">
        <v>1</v>
      </c>
      <c r="J270" s="169" t="s">
        <v>708</v>
      </c>
      <c r="K270" s="169" t="s">
        <v>708</v>
      </c>
      <c r="L270" s="169" t="s">
        <v>708</v>
      </c>
      <c r="M270" s="169" t="s">
        <v>708</v>
      </c>
      <c r="N270" s="169" t="s">
        <v>708</v>
      </c>
      <c r="O270" s="169" t="s">
        <v>708</v>
      </c>
      <c r="P270" s="169" t="s">
        <v>708</v>
      </c>
      <c r="Q270" s="169">
        <v>36</v>
      </c>
      <c r="R270" s="169"/>
    </row>
    <row r="271" spans="1:18" hidden="1">
      <c r="A271" s="169" t="s">
        <v>707</v>
      </c>
      <c r="B271" s="169" t="s">
        <v>652</v>
      </c>
      <c r="C271" s="169" t="s">
        <v>682</v>
      </c>
      <c r="D271" s="169">
        <v>12</v>
      </c>
      <c r="E271" s="169">
        <v>39</v>
      </c>
      <c r="F271" s="169">
        <v>26</v>
      </c>
      <c r="G271" s="169">
        <v>12</v>
      </c>
      <c r="H271" s="169">
        <v>7</v>
      </c>
      <c r="I271" s="169">
        <v>1</v>
      </c>
      <c r="J271" s="169" t="s">
        <v>708</v>
      </c>
      <c r="K271" s="169" t="s">
        <v>708</v>
      </c>
      <c r="L271" s="169" t="s">
        <v>708</v>
      </c>
      <c r="M271" s="169" t="s">
        <v>708</v>
      </c>
      <c r="N271" s="169" t="s">
        <v>708</v>
      </c>
      <c r="O271" s="169" t="s">
        <v>708</v>
      </c>
      <c r="P271" s="169" t="s">
        <v>708</v>
      </c>
      <c r="Q271" s="169">
        <v>97</v>
      </c>
      <c r="R271" s="169"/>
    </row>
    <row r="272" spans="1:18" hidden="1">
      <c r="A272" s="169" t="s">
        <v>707</v>
      </c>
      <c r="B272" s="169" t="s">
        <v>652</v>
      </c>
      <c r="C272" s="169" t="s">
        <v>683</v>
      </c>
      <c r="D272" s="169">
        <v>3</v>
      </c>
      <c r="E272" s="169">
        <v>23</v>
      </c>
      <c r="F272" s="169">
        <v>13</v>
      </c>
      <c r="G272" s="169">
        <v>10</v>
      </c>
      <c r="H272" s="169">
        <v>5</v>
      </c>
      <c r="I272" s="169" t="s">
        <v>708</v>
      </c>
      <c r="J272" s="169" t="s">
        <v>708</v>
      </c>
      <c r="K272" s="169" t="s">
        <v>708</v>
      </c>
      <c r="L272" s="169">
        <v>1</v>
      </c>
      <c r="M272" s="169" t="s">
        <v>708</v>
      </c>
      <c r="N272" s="169" t="s">
        <v>708</v>
      </c>
      <c r="O272" s="169" t="s">
        <v>708</v>
      </c>
      <c r="P272" s="169" t="s">
        <v>708</v>
      </c>
      <c r="Q272" s="169">
        <v>55</v>
      </c>
      <c r="R272" s="169"/>
    </row>
    <row r="273" spans="1:18" hidden="1">
      <c r="A273" s="169" t="s">
        <v>707</v>
      </c>
      <c r="B273" s="169" t="s">
        <v>652</v>
      </c>
      <c r="C273" s="169" t="s">
        <v>684</v>
      </c>
      <c r="D273" s="169">
        <v>2</v>
      </c>
      <c r="E273" s="169">
        <v>18</v>
      </c>
      <c r="F273" s="169">
        <v>14</v>
      </c>
      <c r="G273" s="169">
        <v>7</v>
      </c>
      <c r="H273" s="169">
        <v>1</v>
      </c>
      <c r="I273" s="169">
        <v>1</v>
      </c>
      <c r="J273" s="169" t="s">
        <v>708</v>
      </c>
      <c r="K273" s="169" t="s">
        <v>708</v>
      </c>
      <c r="L273" s="169" t="s">
        <v>708</v>
      </c>
      <c r="M273" s="169" t="s">
        <v>708</v>
      </c>
      <c r="N273" s="169" t="s">
        <v>708</v>
      </c>
      <c r="O273" s="169" t="s">
        <v>708</v>
      </c>
      <c r="P273" s="169" t="s">
        <v>708</v>
      </c>
      <c r="Q273" s="169">
        <v>43</v>
      </c>
      <c r="R273" s="169"/>
    </row>
    <row r="274" spans="1:18" hidden="1">
      <c r="A274" s="169" t="s">
        <v>707</v>
      </c>
      <c r="B274" s="169" t="s">
        <v>652</v>
      </c>
      <c r="C274" s="169" t="s">
        <v>685</v>
      </c>
      <c r="D274" s="169">
        <v>376</v>
      </c>
      <c r="E274" s="169">
        <v>996</v>
      </c>
      <c r="F274" s="169">
        <v>714</v>
      </c>
      <c r="G274" s="169">
        <v>190</v>
      </c>
      <c r="H274" s="169">
        <v>45</v>
      </c>
      <c r="I274" s="169">
        <v>13</v>
      </c>
      <c r="J274" s="169">
        <v>11</v>
      </c>
      <c r="K274" s="169">
        <v>3</v>
      </c>
      <c r="L274" s="169">
        <v>1</v>
      </c>
      <c r="M274" s="169" t="s">
        <v>708</v>
      </c>
      <c r="N274" s="169" t="s">
        <v>708</v>
      </c>
      <c r="O274" s="169">
        <v>1</v>
      </c>
      <c r="P274" s="169" t="s">
        <v>708</v>
      </c>
      <c r="Q274" s="169">
        <v>2350</v>
      </c>
      <c r="R274" s="169"/>
    </row>
    <row r="275" spans="1:18" hidden="1">
      <c r="A275" s="169" t="s">
        <v>707</v>
      </c>
      <c r="B275" s="169" t="s">
        <v>652</v>
      </c>
      <c r="C275" s="169" t="s">
        <v>686</v>
      </c>
      <c r="D275" s="169">
        <v>13</v>
      </c>
      <c r="E275" s="169">
        <v>46</v>
      </c>
      <c r="F275" s="169">
        <v>50</v>
      </c>
      <c r="G275" s="169">
        <v>13</v>
      </c>
      <c r="H275" s="169">
        <v>5</v>
      </c>
      <c r="I275" s="169">
        <v>1</v>
      </c>
      <c r="J275" s="169">
        <v>1</v>
      </c>
      <c r="K275" s="169">
        <v>1</v>
      </c>
      <c r="L275" s="169" t="s">
        <v>708</v>
      </c>
      <c r="M275" s="169" t="s">
        <v>708</v>
      </c>
      <c r="N275" s="169" t="s">
        <v>708</v>
      </c>
      <c r="O275" s="169" t="s">
        <v>708</v>
      </c>
      <c r="P275" s="169" t="s">
        <v>708</v>
      </c>
      <c r="Q275" s="169">
        <v>130</v>
      </c>
      <c r="R275" s="169"/>
    </row>
    <row r="276" spans="1:18" hidden="1">
      <c r="A276" s="169" t="s">
        <v>707</v>
      </c>
      <c r="B276" s="169" t="s">
        <v>652</v>
      </c>
      <c r="C276" s="169" t="s">
        <v>687</v>
      </c>
      <c r="D276" s="169">
        <v>29</v>
      </c>
      <c r="E276" s="169">
        <v>147</v>
      </c>
      <c r="F276" s="169">
        <v>161</v>
      </c>
      <c r="G276" s="169">
        <v>45</v>
      </c>
      <c r="H276" s="169">
        <v>14</v>
      </c>
      <c r="I276" s="169">
        <v>3</v>
      </c>
      <c r="J276" s="169" t="s">
        <v>708</v>
      </c>
      <c r="K276" s="169">
        <v>2</v>
      </c>
      <c r="L276" s="169" t="s">
        <v>708</v>
      </c>
      <c r="M276" s="169" t="s">
        <v>708</v>
      </c>
      <c r="N276" s="169" t="s">
        <v>708</v>
      </c>
      <c r="O276" s="169" t="s">
        <v>708</v>
      </c>
      <c r="P276" s="169" t="s">
        <v>708</v>
      </c>
      <c r="Q276" s="169">
        <v>401</v>
      </c>
      <c r="R276" s="169"/>
    </row>
    <row r="277" spans="1:18" hidden="1">
      <c r="A277" s="169" t="s">
        <v>707</v>
      </c>
      <c r="B277" s="169" t="s">
        <v>652</v>
      </c>
      <c r="C277" s="169" t="s">
        <v>688</v>
      </c>
      <c r="D277" s="169">
        <v>3</v>
      </c>
      <c r="E277" s="169">
        <v>25</v>
      </c>
      <c r="F277" s="169">
        <v>34</v>
      </c>
      <c r="G277" s="169">
        <v>13</v>
      </c>
      <c r="H277" s="169">
        <v>8</v>
      </c>
      <c r="I277" s="169">
        <v>2</v>
      </c>
      <c r="J277" s="169">
        <v>1</v>
      </c>
      <c r="K277" s="169" t="s">
        <v>708</v>
      </c>
      <c r="L277" s="169" t="s">
        <v>708</v>
      </c>
      <c r="M277" s="169" t="s">
        <v>708</v>
      </c>
      <c r="N277" s="169" t="s">
        <v>708</v>
      </c>
      <c r="O277" s="169" t="s">
        <v>708</v>
      </c>
      <c r="P277" s="169" t="s">
        <v>708</v>
      </c>
      <c r="Q277" s="169">
        <v>86</v>
      </c>
      <c r="R277" s="169"/>
    </row>
    <row r="278" spans="1:18" hidden="1">
      <c r="A278" s="169" t="s">
        <v>707</v>
      </c>
      <c r="B278" s="169" t="s">
        <v>652</v>
      </c>
      <c r="C278" s="169" t="s">
        <v>689</v>
      </c>
      <c r="D278" s="169">
        <v>21</v>
      </c>
      <c r="E278" s="169">
        <v>63</v>
      </c>
      <c r="F278" s="169">
        <v>41</v>
      </c>
      <c r="G278" s="169">
        <v>8</v>
      </c>
      <c r="H278" s="169">
        <v>4</v>
      </c>
      <c r="I278" s="169">
        <v>1</v>
      </c>
      <c r="J278" s="169" t="s">
        <v>708</v>
      </c>
      <c r="K278" s="169" t="s">
        <v>708</v>
      </c>
      <c r="L278" s="169" t="s">
        <v>708</v>
      </c>
      <c r="M278" s="169" t="s">
        <v>708</v>
      </c>
      <c r="N278" s="169" t="s">
        <v>708</v>
      </c>
      <c r="O278" s="169" t="s">
        <v>708</v>
      </c>
      <c r="P278" s="169" t="s">
        <v>708</v>
      </c>
      <c r="Q278" s="169">
        <v>138</v>
      </c>
      <c r="R278" s="169"/>
    </row>
    <row r="279" spans="1:18" hidden="1">
      <c r="A279" s="169" t="s">
        <v>707</v>
      </c>
      <c r="B279" s="169" t="s">
        <v>652</v>
      </c>
      <c r="C279" s="169" t="s">
        <v>690</v>
      </c>
      <c r="D279" s="169">
        <v>2</v>
      </c>
      <c r="E279" s="169">
        <v>12</v>
      </c>
      <c r="F279" s="169">
        <v>8</v>
      </c>
      <c r="G279" s="169">
        <v>1</v>
      </c>
      <c r="H279" s="169" t="s">
        <v>708</v>
      </c>
      <c r="I279" s="169" t="s">
        <v>708</v>
      </c>
      <c r="J279" s="169" t="s">
        <v>708</v>
      </c>
      <c r="K279" s="169" t="s">
        <v>708</v>
      </c>
      <c r="L279" s="169" t="s">
        <v>708</v>
      </c>
      <c r="M279" s="169" t="s">
        <v>708</v>
      </c>
      <c r="N279" s="169" t="s">
        <v>708</v>
      </c>
      <c r="O279" s="169" t="s">
        <v>708</v>
      </c>
      <c r="P279" s="169" t="s">
        <v>708</v>
      </c>
      <c r="Q279" s="169">
        <v>23</v>
      </c>
      <c r="R279" s="169"/>
    </row>
    <row r="280" spans="1:18" hidden="1">
      <c r="A280" s="169" t="s">
        <v>707</v>
      </c>
      <c r="B280" s="169" t="s">
        <v>652</v>
      </c>
      <c r="C280" s="169" t="s">
        <v>691</v>
      </c>
      <c r="D280" s="169">
        <v>77</v>
      </c>
      <c r="E280" s="169">
        <v>361</v>
      </c>
      <c r="F280" s="169">
        <v>331</v>
      </c>
      <c r="G280" s="169">
        <v>103</v>
      </c>
      <c r="H280" s="169">
        <v>27</v>
      </c>
      <c r="I280" s="169">
        <v>16</v>
      </c>
      <c r="J280" s="169">
        <v>4</v>
      </c>
      <c r="K280" s="169">
        <v>1</v>
      </c>
      <c r="L280" s="169" t="s">
        <v>708</v>
      </c>
      <c r="M280" s="169" t="s">
        <v>708</v>
      </c>
      <c r="N280" s="169" t="s">
        <v>708</v>
      </c>
      <c r="O280" s="169" t="s">
        <v>708</v>
      </c>
      <c r="P280" s="169">
        <v>1</v>
      </c>
      <c r="Q280" s="169">
        <v>921</v>
      </c>
      <c r="R280" s="169"/>
    </row>
    <row r="281" spans="1:18" hidden="1">
      <c r="A281" s="169" t="s">
        <v>707</v>
      </c>
      <c r="B281" s="169" t="s">
        <v>652</v>
      </c>
      <c r="C281" s="169" t="s">
        <v>692</v>
      </c>
      <c r="D281" s="169">
        <v>2</v>
      </c>
      <c r="E281" s="169">
        <v>18</v>
      </c>
      <c r="F281" s="169">
        <v>12</v>
      </c>
      <c r="G281" s="169">
        <v>9</v>
      </c>
      <c r="H281" s="169">
        <v>2</v>
      </c>
      <c r="I281" s="169">
        <v>1</v>
      </c>
      <c r="J281" s="169" t="s">
        <v>708</v>
      </c>
      <c r="K281" s="169" t="s">
        <v>708</v>
      </c>
      <c r="L281" s="169" t="s">
        <v>708</v>
      </c>
      <c r="M281" s="169" t="s">
        <v>708</v>
      </c>
      <c r="N281" s="169" t="s">
        <v>708</v>
      </c>
      <c r="O281" s="169" t="s">
        <v>708</v>
      </c>
      <c r="P281" s="169" t="s">
        <v>708</v>
      </c>
      <c r="Q281" s="169">
        <v>44</v>
      </c>
      <c r="R281" s="169"/>
    </row>
    <row r="282" spans="1:18" hidden="1">
      <c r="A282" s="169" t="s">
        <v>707</v>
      </c>
      <c r="B282" s="169" t="s">
        <v>652</v>
      </c>
      <c r="C282" s="169" t="s">
        <v>693</v>
      </c>
      <c r="D282" s="169">
        <v>9</v>
      </c>
      <c r="E282" s="169">
        <v>34</v>
      </c>
      <c r="F282" s="169">
        <v>29</v>
      </c>
      <c r="G282" s="169">
        <v>4</v>
      </c>
      <c r="H282" s="169">
        <v>6</v>
      </c>
      <c r="I282" s="169" t="s">
        <v>708</v>
      </c>
      <c r="J282" s="169">
        <v>1</v>
      </c>
      <c r="K282" s="169" t="s">
        <v>708</v>
      </c>
      <c r="L282" s="169" t="s">
        <v>708</v>
      </c>
      <c r="M282" s="169" t="s">
        <v>708</v>
      </c>
      <c r="N282" s="169" t="s">
        <v>708</v>
      </c>
      <c r="O282" s="169" t="s">
        <v>708</v>
      </c>
      <c r="P282" s="169" t="s">
        <v>708</v>
      </c>
      <c r="Q282" s="169">
        <v>83</v>
      </c>
      <c r="R282" s="169"/>
    </row>
    <row r="283" spans="1:18" hidden="1">
      <c r="A283" s="169" t="s">
        <v>707</v>
      </c>
      <c r="B283" s="169" t="s">
        <v>652</v>
      </c>
      <c r="C283" s="169" t="s">
        <v>694</v>
      </c>
      <c r="D283" s="169">
        <v>251</v>
      </c>
      <c r="E283" s="169">
        <v>2262</v>
      </c>
      <c r="F283" s="169">
        <v>2555</v>
      </c>
      <c r="G283" s="169">
        <v>844</v>
      </c>
      <c r="H283" s="169">
        <v>263</v>
      </c>
      <c r="I283" s="169">
        <v>83</v>
      </c>
      <c r="J283" s="169">
        <v>17</v>
      </c>
      <c r="K283" s="169">
        <v>5</v>
      </c>
      <c r="L283" s="169" t="s">
        <v>708</v>
      </c>
      <c r="M283" s="169">
        <v>1</v>
      </c>
      <c r="N283" s="169" t="s">
        <v>708</v>
      </c>
      <c r="O283" s="169" t="s">
        <v>708</v>
      </c>
      <c r="P283" s="169">
        <v>1</v>
      </c>
      <c r="Q283" s="169">
        <v>6282</v>
      </c>
      <c r="R283" s="169"/>
    </row>
    <row r="284" spans="1:18" hidden="1">
      <c r="A284" s="169" t="s">
        <v>707</v>
      </c>
      <c r="B284" s="169" t="s">
        <v>652</v>
      </c>
      <c r="C284" s="169" t="s">
        <v>695</v>
      </c>
      <c r="D284" s="169">
        <v>2</v>
      </c>
      <c r="E284" s="169">
        <v>14</v>
      </c>
      <c r="F284" s="169">
        <v>22</v>
      </c>
      <c r="G284" s="169">
        <v>11</v>
      </c>
      <c r="H284" s="169">
        <v>4</v>
      </c>
      <c r="I284" s="169">
        <v>3</v>
      </c>
      <c r="J284" s="169">
        <v>1</v>
      </c>
      <c r="K284" s="169">
        <v>2</v>
      </c>
      <c r="L284" s="169" t="s">
        <v>708</v>
      </c>
      <c r="M284" s="169" t="s">
        <v>708</v>
      </c>
      <c r="N284" s="169" t="s">
        <v>708</v>
      </c>
      <c r="O284" s="169" t="s">
        <v>708</v>
      </c>
      <c r="P284" s="169" t="s">
        <v>708</v>
      </c>
      <c r="Q284" s="169">
        <v>59</v>
      </c>
      <c r="R284" s="169"/>
    </row>
    <row r="285" spans="1:18" hidden="1">
      <c r="A285" s="169" t="s">
        <v>707</v>
      </c>
      <c r="B285" s="169" t="s">
        <v>652</v>
      </c>
      <c r="C285" s="169" t="s">
        <v>696</v>
      </c>
      <c r="D285" s="169">
        <v>7</v>
      </c>
      <c r="E285" s="169">
        <v>69</v>
      </c>
      <c r="F285" s="169">
        <v>78</v>
      </c>
      <c r="G285" s="169">
        <v>14</v>
      </c>
      <c r="H285" s="169">
        <v>7</v>
      </c>
      <c r="I285" s="169">
        <v>3</v>
      </c>
      <c r="J285" s="169">
        <v>2</v>
      </c>
      <c r="K285" s="169" t="s">
        <v>708</v>
      </c>
      <c r="L285" s="169" t="s">
        <v>708</v>
      </c>
      <c r="M285" s="169" t="s">
        <v>708</v>
      </c>
      <c r="N285" s="169" t="s">
        <v>708</v>
      </c>
      <c r="O285" s="169" t="s">
        <v>708</v>
      </c>
      <c r="P285" s="169" t="s">
        <v>708</v>
      </c>
      <c r="Q285" s="169">
        <v>180</v>
      </c>
      <c r="R285" s="169"/>
    </row>
    <row r="286" spans="1:18" hidden="1">
      <c r="A286" s="169" t="s">
        <v>707</v>
      </c>
      <c r="B286" s="169" t="s">
        <v>652</v>
      </c>
      <c r="C286" s="169" t="s">
        <v>697</v>
      </c>
      <c r="D286" s="169">
        <v>3</v>
      </c>
      <c r="E286" s="169">
        <v>12</v>
      </c>
      <c r="F286" s="169">
        <v>9</v>
      </c>
      <c r="G286" s="169">
        <v>1</v>
      </c>
      <c r="H286" s="169">
        <v>2</v>
      </c>
      <c r="I286" s="169" t="s">
        <v>708</v>
      </c>
      <c r="J286" s="169" t="s">
        <v>708</v>
      </c>
      <c r="K286" s="169">
        <v>1</v>
      </c>
      <c r="L286" s="169" t="s">
        <v>708</v>
      </c>
      <c r="M286" s="169" t="s">
        <v>708</v>
      </c>
      <c r="N286" s="169" t="s">
        <v>708</v>
      </c>
      <c r="O286" s="169" t="s">
        <v>708</v>
      </c>
      <c r="P286" s="169" t="s">
        <v>708</v>
      </c>
      <c r="Q286" s="169">
        <v>28</v>
      </c>
      <c r="R286" s="169"/>
    </row>
    <row r="287" spans="1:18" hidden="1">
      <c r="A287" s="169" t="s">
        <v>707</v>
      </c>
      <c r="B287" s="169" t="s">
        <v>652</v>
      </c>
      <c r="C287" s="169" t="s">
        <v>698</v>
      </c>
      <c r="D287" s="169">
        <v>13</v>
      </c>
      <c r="E287" s="169">
        <v>50</v>
      </c>
      <c r="F287" s="169">
        <v>45</v>
      </c>
      <c r="G287" s="169">
        <v>18</v>
      </c>
      <c r="H287" s="169">
        <v>11</v>
      </c>
      <c r="I287" s="169">
        <v>3</v>
      </c>
      <c r="J287" s="169">
        <v>1</v>
      </c>
      <c r="K287" s="169" t="s">
        <v>708</v>
      </c>
      <c r="L287" s="169" t="s">
        <v>708</v>
      </c>
      <c r="M287" s="169" t="s">
        <v>708</v>
      </c>
      <c r="N287" s="169" t="s">
        <v>708</v>
      </c>
      <c r="O287" s="169" t="s">
        <v>708</v>
      </c>
      <c r="P287" s="169" t="s">
        <v>708</v>
      </c>
      <c r="Q287" s="169">
        <v>141</v>
      </c>
      <c r="R287" s="169"/>
    </row>
    <row r="288" spans="1:18" hidden="1">
      <c r="A288" s="169" t="s">
        <v>707</v>
      </c>
      <c r="B288" s="169" t="s">
        <v>652</v>
      </c>
      <c r="C288" s="169" t="s">
        <v>699</v>
      </c>
      <c r="D288" s="169">
        <v>141</v>
      </c>
      <c r="E288" s="169">
        <v>696</v>
      </c>
      <c r="F288" s="169">
        <v>705</v>
      </c>
      <c r="G288" s="169">
        <v>235</v>
      </c>
      <c r="H288" s="169">
        <v>70</v>
      </c>
      <c r="I288" s="169">
        <v>21</v>
      </c>
      <c r="J288" s="169">
        <v>8</v>
      </c>
      <c r="K288" s="169">
        <v>4</v>
      </c>
      <c r="L288" s="169" t="s">
        <v>708</v>
      </c>
      <c r="M288" s="169" t="s">
        <v>708</v>
      </c>
      <c r="N288" s="169" t="s">
        <v>708</v>
      </c>
      <c r="O288" s="169" t="s">
        <v>708</v>
      </c>
      <c r="P288" s="169" t="s">
        <v>708</v>
      </c>
      <c r="Q288" s="169">
        <v>1880</v>
      </c>
      <c r="R288" s="169"/>
    </row>
    <row r="289" spans="1:18" hidden="1">
      <c r="A289" s="169" t="s">
        <v>707</v>
      </c>
      <c r="B289" s="169" t="s">
        <v>652</v>
      </c>
      <c r="C289" s="169" t="s">
        <v>700</v>
      </c>
      <c r="D289" s="169">
        <v>2</v>
      </c>
      <c r="E289" s="169">
        <v>17</v>
      </c>
      <c r="F289" s="169">
        <v>21</v>
      </c>
      <c r="G289" s="169">
        <v>2</v>
      </c>
      <c r="H289" s="169">
        <v>1</v>
      </c>
      <c r="I289" s="169" t="s">
        <v>708</v>
      </c>
      <c r="J289" s="169" t="s">
        <v>708</v>
      </c>
      <c r="K289" s="169" t="s">
        <v>708</v>
      </c>
      <c r="L289" s="169" t="s">
        <v>708</v>
      </c>
      <c r="M289" s="169" t="s">
        <v>708</v>
      </c>
      <c r="N289" s="169" t="s">
        <v>708</v>
      </c>
      <c r="O289" s="169" t="s">
        <v>708</v>
      </c>
      <c r="P289" s="169" t="s">
        <v>708</v>
      </c>
      <c r="Q289" s="169">
        <v>43</v>
      </c>
      <c r="R289" s="169"/>
    </row>
    <row r="290" spans="1:18" hidden="1">
      <c r="A290" s="169" t="s">
        <v>707</v>
      </c>
      <c r="B290" s="169" t="s">
        <v>652</v>
      </c>
      <c r="C290" s="169" t="s">
        <v>701</v>
      </c>
      <c r="D290" s="169">
        <v>5</v>
      </c>
      <c r="E290" s="169">
        <v>18</v>
      </c>
      <c r="F290" s="169">
        <v>25</v>
      </c>
      <c r="G290" s="169">
        <v>12</v>
      </c>
      <c r="H290" s="169">
        <v>6</v>
      </c>
      <c r="I290" s="169" t="s">
        <v>708</v>
      </c>
      <c r="J290" s="169" t="s">
        <v>708</v>
      </c>
      <c r="K290" s="169" t="s">
        <v>708</v>
      </c>
      <c r="L290" s="169">
        <v>1</v>
      </c>
      <c r="M290" s="169" t="s">
        <v>708</v>
      </c>
      <c r="N290" s="169" t="s">
        <v>708</v>
      </c>
      <c r="O290" s="169" t="s">
        <v>708</v>
      </c>
      <c r="P290" s="169" t="s">
        <v>708</v>
      </c>
      <c r="Q290" s="169">
        <v>67</v>
      </c>
      <c r="R290" s="169"/>
    </row>
    <row r="291" spans="1:18" hidden="1">
      <c r="A291" s="169" t="s">
        <v>707</v>
      </c>
      <c r="B291" s="169" t="s">
        <v>652</v>
      </c>
      <c r="C291" s="169" t="s">
        <v>649</v>
      </c>
      <c r="D291" s="169">
        <v>1864</v>
      </c>
      <c r="E291" s="169">
        <v>9875</v>
      </c>
      <c r="F291" s="169">
        <v>9589</v>
      </c>
      <c r="G291" s="169">
        <v>3243</v>
      </c>
      <c r="H291" s="169">
        <v>1047</v>
      </c>
      <c r="I291" s="169">
        <v>334</v>
      </c>
      <c r="J291" s="169">
        <v>115</v>
      </c>
      <c r="K291" s="169">
        <v>38</v>
      </c>
      <c r="L291" s="169">
        <v>11</v>
      </c>
      <c r="M291" s="169">
        <v>5</v>
      </c>
      <c r="N291" s="169">
        <v>1</v>
      </c>
      <c r="O291" s="169">
        <v>2</v>
      </c>
      <c r="P291" s="169">
        <v>5</v>
      </c>
      <c r="Q291" s="169">
        <v>26129</v>
      </c>
      <c r="R291" s="169"/>
    </row>
    <row r="292" spans="1:18" hidden="1">
      <c r="A292" s="169" t="s">
        <v>707</v>
      </c>
      <c r="B292" s="169" t="s">
        <v>702</v>
      </c>
      <c r="C292" s="169" t="s">
        <v>653</v>
      </c>
      <c r="D292" s="169">
        <v>3</v>
      </c>
      <c r="E292" s="169">
        <v>10</v>
      </c>
      <c r="F292" s="169">
        <v>13</v>
      </c>
      <c r="G292" s="169">
        <v>11</v>
      </c>
      <c r="H292" s="169">
        <v>3</v>
      </c>
      <c r="I292" s="169">
        <v>2</v>
      </c>
      <c r="J292" s="169">
        <v>1</v>
      </c>
      <c r="K292" s="169" t="s">
        <v>708</v>
      </c>
      <c r="L292" s="169">
        <v>1</v>
      </c>
      <c r="M292" s="169">
        <v>1</v>
      </c>
      <c r="N292" s="169" t="s">
        <v>708</v>
      </c>
      <c r="O292" s="169" t="s">
        <v>708</v>
      </c>
      <c r="P292" s="169" t="s">
        <v>708</v>
      </c>
      <c r="Q292" s="169">
        <v>45</v>
      </c>
      <c r="R292" s="169"/>
    </row>
    <row r="293" spans="1:18" hidden="1">
      <c r="A293" s="169" t="s">
        <v>707</v>
      </c>
      <c r="B293" s="169" t="s">
        <v>702</v>
      </c>
      <c r="C293" s="169" t="s">
        <v>654</v>
      </c>
      <c r="D293" s="169">
        <v>6</v>
      </c>
      <c r="E293" s="169">
        <v>34</v>
      </c>
      <c r="F293" s="169">
        <v>41</v>
      </c>
      <c r="G293" s="169">
        <v>36</v>
      </c>
      <c r="H293" s="169">
        <v>7</v>
      </c>
      <c r="I293" s="169">
        <v>5</v>
      </c>
      <c r="J293" s="169">
        <v>1</v>
      </c>
      <c r="K293" s="169">
        <v>3</v>
      </c>
      <c r="L293" s="169" t="s">
        <v>708</v>
      </c>
      <c r="M293" s="169" t="s">
        <v>708</v>
      </c>
      <c r="N293" s="169" t="s">
        <v>708</v>
      </c>
      <c r="O293" s="169" t="s">
        <v>708</v>
      </c>
      <c r="P293" s="169" t="s">
        <v>708</v>
      </c>
      <c r="Q293" s="169">
        <v>133</v>
      </c>
      <c r="R293" s="169"/>
    </row>
    <row r="294" spans="1:18" hidden="1">
      <c r="A294" s="169" t="s">
        <v>707</v>
      </c>
      <c r="B294" s="169" t="s">
        <v>702</v>
      </c>
      <c r="C294" s="169" t="s">
        <v>655</v>
      </c>
      <c r="D294" s="169">
        <v>4</v>
      </c>
      <c r="E294" s="169">
        <v>20</v>
      </c>
      <c r="F294" s="169">
        <v>37</v>
      </c>
      <c r="G294" s="169">
        <v>15</v>
      </c>
      <c r="H294" s="169">
        <v>12</v>
      </c>
      <c r="I294" s="169">
        <v>1</v>
      </c>
      <c r="J294" s="169">
        <v>2</v>
      </c>
      <c r="K294" s="169" t="s">
        <v>708</v>
      </c>
      <c r="L294" s="169" t="s">
        <v>708</v>
      </c>
      <c r="M294" s="169" t="s">
        <v>708</v>
      </c>
      <c r="N294" s="169" t="s">
        <v>708</v>
      </c>
      <c r="O294" s="169" t="s">
        <v>708</v>
      </c>
      <c r="P294" s="169" t="s">
        <v>708</v>
      </c>
      <c r="Q294" s="169">
        <v>91</v>
      </c>
      <c r="R294" s="169"/>
    </row>
    <row r="295" spans="1:18" hidden="1">
      <c r="A295" s="169" t="s">
        <v>707</v>
      </c>
      <c r="B295" s="169" t="s">
        <v>702</v>
      </c>
      <c r="C295" s="169" t="s">
        <v>656</v>
      </c>
      <c r="D295" s="169">
        <v>15</v>
      </c>
      <c r="E295" s="169">
        <v>196</v>
      </c>
      <c r="F295" s="169">
        <v>287</v>
      </c>
      <c r="G295" s="169">
        <v>143</v>
      </c>
      <c r="H295" s="169">
        <v>59</v>
      </c>
      <c r="I295" s="169">
        <v>30</v>
      </c>
      <c r="J295" s="169">
        <v>9</v>
      </c>
      <c r="K295" s="169">
        <v>3</v>
      </c>
      <c r="L295" s="169">
        <v>4</v>
      </c>
      <c r="M295" s="169">
        <v>3</v>
      </c>
      <c r="N295" s="169" t="s">
        <v>708</v>
      </c>
      <c r="O295" s="169" t="s">
        <v>708</v>
      </c>
      <c r="P295" s="169">
        <v>1</v>
      </c>
      <c r="Q295" s="169">
        <v>750</v>
      </c>
      <c r="R295" s="169"/>
    </row>
    <row r="296" spans="1:18" hidden="1">
      <c r="A296" s="169" t="s">
        <v>707</v>
      </c>
      <c r="B296" s="169" t="s">
        <v>702</v>
      </c>
      <c r="C296" s="169" t="s">
        <v>288</v>
      </c>
      <c r="D296" s="169">
        <v>51</v>
      </c>
      <c r="E296" s="169">
        <v>693</v>
      </c>
      <c r="F296" s="169">
        <v>1182</v>
      </c>
      <c r="G296" s="169">
        <v>745</v>
      </c>
      <c r="H296" s="169">
        <v>369</v>
      </c>
      <c r="I296" s="169">
        <v>144</v>
      </c>
      <c r="J296" s="169">
        <v>60</v>
      </c>
      <c r="K296" s="169">
        <v>28</v>
      </c>
      <c r="L296" s="169">
        <v>7</v>
      </c>
      <c r="M296" s="169">
        <v>3</v>
      </c>
      <c r="N296" s="169">
        <v>5</v>
      </c>
      <c r="O296" s="169">
        <v>1</v>
      </c>
      <c r="P296" s="169">
        <v>4</v>
      </c>
      <c r="Q296" s="169">
        <v>3292</v>
      </c>
      <c r="R296" s="169"/>
    </row>
    <row r="297" spans="1:18" hidden="1">
      <c r="A297" s="169" t="s">
        <v>707</v>
      </c>
      <c r="B297" s="169" t="s">
        <v>702</v>
      </c>
      <c r="C297" s="169" t="s">
        <v>657</v>
      </c>
      <c r="D297" s="169">
        <v>1</v>
      </c>
      <c r="E297" s="169">
        <v>8</v>
      </c>
      <c r="F297" s="169">
        <v>21</v>
      </c>
      <c r="G297" s="169">
        <v>16</v>
      </c>
      <c r="H297" s="169">
        <v>7</v>
      </c>
      <c r="I297" s="169">
        <v>2</v>
      </c>
      <c r="J297" s="169">
        <v>3</v>
      </c>
      <c r="K297" s="169">
        <v>1</v>
      </c>
      <c r="L297" s="169" t="s">
        <v>708</v>
      </c>
      <c r="M297" s="169">
        <v>1</v>
      </c>
      <c r="N297" s="169" t="s">
        <v>708</v>
      </c>
      <c r="O297" s="169" t="s">
        <v>708</v>
      </c>
      <c r="P297" s="169" t="s">
        <v>708</v>
      </c>
      <c r="Q297" s="169">
        <v>60</v>
      </c>
      <c r="R297" s="169"/>
    </row>
    <row r="298" spans="1:18" hidden="1">
      <c r="A298" s="169" t="s">
        <v>707</v>
      </c>
      <c r="B298" s="169" t="s">
        <v>702</v>
      </c>
      <c r="C298" s="169" t="s">
        <v>658</v>
      </c>
      <c r="D298" s="169" t="s">
        <v>708</v>
      </c>
      <c r="E298" s="169">
        <v>4</v>
      </c>
      <c r="F298" s="169">
        <v>13</v>
      </c>
      <c r="G298" s="169">
        <v>9</v>
      </c>
      <c r="H298" s="169">
        <v>1</v>
      </c>
      <c r="I298" s="169">
        <v>1</v>
      </c>
      <c r="J298" s="169">
        <v>1</v>
      </c>
      <c r="K298" s="169" t="s">
        <v>708</v>
      </c>
      <c r="L298" s="169" t="s">
        <v>708</v>
      </c>
      <c r="M298" s="169" t="s">
        <v>708</v>
      </c>
      <c r="N298" s="169" t="s">
        <v>708</v>
      </c>
      <c r="O298" s="169" t="s">
        <v>708</v>
      </c>
      <c r="P298" s="169" t="s">
        <v>708</v>
      </c>
      <c r="Q298" s="169">
        <v>29</v>
      </c>
      <c r="R298" s="169"/>
    </row>
    <row r="299" spans="1:18" hidden="1">
      <c r="A299" s="169" t="s">
        <v>707</v>
      </c>
      <c r="B299" s="169" t="s">
        <v>702</v>
      </c>
      <c r="C299" s="169" t="s">
        <v>659</v>
      </c>
      <c r="D299" s="169" t="s">
        <v>708</v>
      </c>
      <c r="E299" s="169">
        <v>17</v>
      </c>
      <c r="F299" s="169">
        <v>18</v>
      </c>
      <c r="G299" s="169">
        <v>8</v>
      </c>
      <c r="H299" s="169">
        <v>3</v>
      </c>
      <c r="I299" s="169">
        <v>1</v>
      </c>
      <c r="J299" s="169" t="s">
        <v>708</v>
      </c>
      <c r="K299" s="169" t="s">
        <v>708</v>
      </c>
      <c r="L299" s="169" t="s">
        <v>708</v>
      </c>
      <c r="M299" s="169" t="s">
        <v>708</v>
      </c>
      <c r="N299" s="169" t="s">
        <v>708</v>
      </c>
      <c r="O299" s="169" t="s">
        <v>708</v>
      </c>
      <c r="P299" s="169" t="s">
        <v>708</v>
      </c>
      <c r="Q299" s="169">
        <v>47</v>
      </c>
      <c r="R299" s="169"/>
    </row>
    <row r="300" spans="1:18" hidden="1">
      <c r="A300" s="169" t="s">
        <v>707</v>
      </c>
      <c r="B300" s="169" t="s">
        <v>702</v>
      </c>
      <c r="C300" s="169" t="s">
        <v>660</v>
      </c>
      <c r="D300" s="169">
        <v>2</v>
      </c>
      <c r="E300" s="169">
        <v>25</v>
      </c>
      <c r="F300" s="169">
        <v>49</v>
      </c>
      <c r="G300" s="169">
        <v>20</v>
      </c>
      <c r="H300" s="169">
        <v>8</v>
      </c>
      <c r="I300" s="169">
        <v>3</v>
      </c>
      <c r="J300" s="169" t="s">
        <v>708</v>
      </c>
      <c r="K300" s="169" t="s">
        <v>708</v>
      </c>
      <c r="L300" s="169">
        <v>1</v>
      </c>
      <c r="M300" s="169" t="s">
        <v>708</v>
      </c>
      <c r="N300" s="169" t="s">
        <v>708</v>
      </c>
      <c r="O300" s="169" t="s">
        <v>708</v>
      </c>
      <c r="P300" s="169" t="s">
        <v>708</v>
      </c>
      <c r="Q300" s="169">
        <v>108</v>
      </c>
      <c r="R300" s="169"/>
    </row>
    <row r="301" spans="1:18" hidden="1">
      <c r="A301" s="169" t="s">
        <v>707</v>
      </c>
      <c r="B301" s="169" t="s">
        <v>702</v>
      </c>
      <c r="C301" s="169" t="s">
        <v>661</v>
      </c>
      <c r="D301" s="169">
        <v>50</v>
      </c>
      <c r="E301" s="169">
        <v>499</v>
      </c>
      <c r="F301" s="169">
        <v>764</v>
      </c>
      <c r="G301" s="169">
        <v>440</v>
      </c>
      <c r="H301" s="169">
        <v>186</v>
      </c>
      <c r="I301" s="169">
        <v>68</v>
      </c>
      <c r="J301" s="169">
        <v>28</v>
      </c>
      <c r="K301" s="169">
        <v>7</v>
      </c>
      <c r="L301" s="169">
        <v>4</v>
      </c>
      <c r="M301" s="169">
        <v>1</v>
      </c>
      <c r="N301" s="169">
        <v>4</v>
      </c>
      <c r="O301" s="169" t="s">
        <v>708</v>
      </c>
      <c r="P301" s="169">
        <v>1</v>
      </c>
      <c r="Q301" s="169">
        <v>2052</v>
      </c>
      <c r="R301" s="169"/>
    </row>
    <row r="302" spans="1:18" hidden="1">
      <c r="A302" s="169" t="s">
        <v>707</v>
      </c>
      <c r="B302" s="169" t="s">
        <v>702</v>
      </c>
      <c r="C302" s="169" t="s">
        <v>662</v>
      </c>
      <c r="D302" s="169">
        <v>2</v>
      </c>
      <c r="E302" s="169">
        <v>10</v>
      </c>
      <c r="F302" s="169">
        <v>12</v>
      </c>
      <c r="G302" s="169">
        <v>6</v>
      </c>
      <c r="H302" s="169">
        <v>1</v>
      </c>
      <c r="I302" s="169" t="s">
        <v>708</v>
      </c>
      <c r="J302" s="169" t="s">
        <v>708</v>
      </c>
      <c r="K302" s="169" t="s">
        <v>708</v>
      </c>
      <c r="L302" s="169" t="s">
        <v>708</v>
      </c>
      <c r="M302" s="169" t="s">
        <v>708</v>
      </c>
      <c r="N302" s="169" t="s">
        <v>708</v>
      </c>
      <c r="O302" s="169" t="s">
        <v>708</v>
      </c>
      <c r="P302" s="169" t="s">
        <v>708</v>
      </c>
      <c r="Q302" s="169">
        <v>31</v>
      </c>
      <c r="R302" s="169"/>
    </row>
    <row r="303" spans="1:18" hidden="1">
      <c r="A303" s="169" t="s">
        <v>707</v>
      </c>
      <c r="B303" s="169" t="s">
        <v>702</v>
      </c>
      <c r="C303" s="169" t="s">
        <v>663</v>
      </c>
      <c r="D303" s="169">
        <v>3</v>
      </c>
      <c r="E303" s="169">
        <v>45</v>
      </c>
      <c r="F303" s="169">
        <v>118</v>
      </c>
      <c r="G303" s="169">
        <v>72</v>
      </c>
      <c r="H303" s="169">
        <v>29</v>
      </c>
      <c r="I303" s="169">
        <v>14</v>
      </c>
      <c r="J303" s="169">
        <v>4</v>
      </c>
      <c r="K303" s="169">
        <v>3</v>
      </c>
      <c r="L303" s="169">
        <v>2</v>
      </c>
      <c r="M303" s="169">
        <v>2</v>
      </c>
      <c r="N303" s="169">
        <v>1</v>
      </c>
      <c r="O303" s="169" t="s">
        <v>708</v>
      </c>
      <c r="P303" s="169">
        <v>1</v>
      </c>
      <c r="Q303" s="169">
        <v>294</v>
      </c>
      <c r="R303" s="169"/>
    </row>
    <row r="304" spans="1:18" hidden="1">
      <c r="A304" s="169" t="s">
        <v>707</v>
      </c>
      <c r="B304" s="169" t="s">
        <v>702</v>
      </c>
      <c r="C304" s="169" t="s">
        <v>664</v>
      </c>
      <c r="D304" s="169" t="s">
        <v>708</v>
      </c>
      <c r="E304" s="169">
        <v>14</v>
      </c>
      <c r="F304" s="169">
        <v>27</v>
      </c>
      <c r="G304" s="169">
        <v>38</v>
      </c>
      <c r="H304" s="169">
        <v>16</v>
      </c>
      <c r="I304" s="169">
        <v>2</v>
      </c>
      <c r="J304" s="169">
        <v>1</v>
      </c>
      <c r="K304" s="169">
        <v>2</v>
      </c>
      <c r="L304" s="169" t="s">
        <v>708</v>
      </c>
      <c r="M304" s="169" t="s">
        <v>708</v>
      </c>
      <c r="N304" s="169" t="s">
        <v>708</v>
      </c>
      <c r="O304" s="169" t="s">
        <v>708</v>
      </c>
      <c r="P304" s="169" t="s">
        <v>708</v>
      </c>
      <c r="Q304" s="169">
        <v>100</v>
      </c>
      <c r="R304" s="169"/>
    </row>
    <row r="305" spans="1:18" hidden="1">
      <c r="A305" s="169" t="s">
        <v>707</v>
      </c>
      <c r="B305" s="169" t="s">
        <v>702</v>
      </c>
      <c r="C305" s="169" t="s">
        <v>665</v>
      </c>
      <c r="D305" s="169">
        <v>3</v>
      </c>
      <c r="E305" s="169">
        <v>25</v>
      </c>
      <c r="F305" s="169">
        <v>44</v>
      </c>
      <c r="G305" s="169">
        <v>27</v>
      </c>
      <c r="H305" s="169">
        <v>10</v>
      </c>
      <c r="I305" s="169">
        <v>3</v>
      </c>
      <c r="J305" s="169">
        <v>2</v>
      </c>
      <c r="K305" s="169">
        <v>1</v>
      </c>
      <c r="L305" s="169" t="s">
        <v>708</v>
      </c>
      <c r="M305" s="169" t="s">
        <v>708</v>
      </c>
      <c r="N305" s="169" t="s">
        <v>708</v>
      </c>
      <c r="O305" s="169" t="s">
        <v>708</v>
      </c>
      <c r="P305" s="169">
        <v>1</v>
      </c>
      <c r="Q305" s="169">
        <v>116</v>
      </c>
      <c r="R305" s="169"/>
    </row>
    <row r="306" spans="1:18" hidden="1">
      <c r="A306" s="169" t="s">
        <v>707</v>
      </c>
      <c r="B306" s="169" t="s">
        <v>702</v>
      </c>
      <c r="C306" s="169" t="s">
        <v>666</v>
      </c>
      <c r="D306" s="169">
        <v>1</v>
      </c>
      <c r="E306" s="169">
        <v>31</v>
      </c>
      <c r="F306" s="169">
        <v>37</v>
      </c>
      <c r="G306" s="169">
        <v>27</v>
      </c>
      <c r="H306" s="169">
        <v>25</v>
      </c>
      <c r="I306" s="169">
        <v>14</v>
      </c>
      <c r="J306" s="169">
        <v>1</v>
      </c>
      <c r="K306" s="169">
        <v>1</v>
      </c>
      <c r="L306" s="169">
        <v>2</v>
      </c>
      <c r="M306" s="169" t="s">
        <v>708</v>
      </c>
      <c r="N306" s="169" t="s">
        <v>708</v>
      </c>
      <c r="O306" s="169" t="s">
        <v>708</v>
      </c>
      <c r="P306" s="169" t="s">
        <v>708</v>
      </c>
      <c r="Q306" s="169">
        <v>139</v>
      </c>
      <c r="R306" s="169"/>
    </row>
    <row r="307" spans="1:18" hidden="1">
      <c r="A307" s="169" t="s">
        <v>707</v>
      </c>
      <c r="B307" s="169" t="s">
        <v>702</v>
      </c>
      <c r="C307" s="169" t="s">
        <v>667</v>
      </c>
      <c r="D307" s="169" t="s">
        <v>708</v>
      </c>
      <c r="E307" s="169">
        <v>16</v>
      </c>
      <c r="F307" s="169">
        <v>28</v>
      </c>
      <c r="G307" s="169">
        <v>22</v>
      </c>
      <c r="H307" s="169">
        <v>6</v>
      </c>
      <c r="I307" s="169">
        <v>5</v>
      </c>
      <c r="J307" s="169">
        <v>3</v>
      </c>
      <c r="K307" s="169">
        <v>2</v>
      </c>
      <c r="L307" s="169" t="s">
        <v>708</v>
      </c>
      <c r="M307" s="169" t="s">
        <v>708</v>
      </c>
      <c r="N307" s="169" t="s">
        <v>708</v>
      </c>
      <c r="O307" s="169" t="s">
        <v>708</v>
      </c>
      <c r="P307" s="169">
        <v>1</v>
      </c>
      <c r="Q307" s="169">
        <v>83</v>
      </c>
      <c r="R307" s="169"/>
    </row>
    <row r="308" spans="1:18" hidden="1">
      <c r="A308" s="169" t="s">
        <v>707</v>
      </c>
      <c r="B308" s="169" t="s">
        <v>702</v>
      </c>
      <c r="C308" s="169" t="s">
        <v>668</v>
      </c>
      <c r="D308" s="169">
        <v>4</v>
      </c>
      <c r="E308" s="169">
        <v>40</v>
      </c>
      <c r="F308" s="169">
        <v>43</v>
      </c>
      <c r="G308" s="169">
        <v>32</v>
      </c>
      <c r="H308" s="169">
        <v>4</v>
      </c>
      <c r="I308" s="169">
        <v>5</v>
      </c>
      <c r="J308" s="169">
        <v>2</v>
      </c>
      <c r="K308" s="169">
        <v>1</v>
      </c>
      <c r="L308" s="169" t="s">
        <v>708</v>
      </c>
      <c r="M308" s="169" t="s">
        <v>708</v>
      </c>
      <c r="N308" s="169" t="s">
        <v>708</v>
      </c>
      <c r="O308" s="169" t="s">
        <v>708</v>
      </c>
      <c r="P308" s="169" t="s">
        <v>708</v>
      </c>
      <c r="Q308" s="169">
        <v>131</v>
      </c>
      <c r="R308" s="169"/>
    </row>
    <row r="309" spans="1:18" hidden="1">
      <c r="A309" s="169" t="s">
        <v>707</v>
      </c>
      <c r="B309" s="169" t="s">
        <v>702</v>
      </c>
      <c r="C309" s="169" t="s">
        <v>669</v>
      </c>
      <c r="D309" s="169">
        <v>3</v>
      </c>
      <c r="E309" s="169">
        <v>17</v>
      </c>
      <c r="F309" s="169">
        <v>20</v>
      </c>
      <c r="G309" s="169">
        <v>7</v>
      </c>
      <c r="H309" s="169">
        <v>2</v>
      </c>
      <c r="I309" s="169">
        <v>1</v>
      </c>
      <c r="J309" s="169" t="s">
        <v>708</v>
      </c>
      <c r="K309" s="169" t="s">
        <v>708</v>
      </c>
      <c r="L309" s="169" t="s">
        <v>708</v>
      </c>
      <c r="M309" s="169" t="s">
        <v>708</v>
      </c>
      <c r="N309" s="169" t="s">
        <v>708</v>
      </c>
      <c r="O309" s="169" t="s">
        <v>708</v>
      </c>
      <c r="P309" s="169" t="s">
        <v>708</v>
      </c>
      <c r="Q309" s="169">
        <v>50</v>
      </c>
      <c r="R309" s="169"/>
    </row>
    <row r="310" spans="1:18" hidden="1">
      <c r="A310" s="169" t="s">
        <v>707</v>
      </c>
      <c r="B310" s="169" t="s">
        <v>702</v>
      </c>
      <c r="C310" s="169" t="s">
        <v>670</v>
      </c>
      <c r="D310" s="169">
        <v>2</v>
      </c>
      <c r="E310" s="169">
        <v>9</v>
      </c>
      <c r="F310" s="169">
        <v>17</v>
      </c>
      <c r="G310" s="169">
        <v>2</v>
      </c>
      <c r="H310" s="169">
        <v>1</v>
      </c>
      <c r="I310" s="169" t="s">
        <v>708</v>
      </c>
      <c r="J310" s="169">
        <v>2</v>
      </c>
      <c r="K310" s="169" t="s">
        <v>708</v>
      </c>
      <c r="L310" s="169" t="s">
        <v>708</v>
      </c>
      <c r="M310" s="169" t="s">
        <v>708</v>
      </c>
      <c r="N310" s="169" t="s">
        <v>708</v>
      </c>
      <c r="O310" s="169" t="s">
        <v>708</v>
      </c>
      <c r="P310" s="169" t="s">
        <v>708</v>
      </c>
      <c r="Q310" s="169">
        <v>33</v>
      </c>
      <c r="R310" s="169"/>
    </row>
    <row r="311" spans="1:18" hidden="1">
      <c r="A311" s="169" t="s">
        <v>707</v>
      </c>
      <c r="B311" s="169" t="s">
        <v>702</v>
      </c>
      <c r="C311" s="169" t="s">
        <v>671</v>
      </c>
      <c r="D311" s="169">
        <v>4</v>
      </c>
      <c r="E311" s="169">
        <v>91</v>
      </c>
      <c r="F311" s="169">
        <v>131</v>
      </c>
      <c r="G311" s="169">
        <v>78</v>
      </c>
      <c r="H311" s="169">
        <v>41</v>
      </c>
      <c r="I311" s="169">
        <v>14</v>
      </c>
      <c r="J311" s="169">
        <v>5</v>
      </c>
      <c r="K311" s="169">
        <v>2</v>
      </c>
      <c r="L311" s="169">
        <v>1</v>
      </c>
      <c r="M311" s="169" t="s">
        <v>708</v>
      </c>
      <c r="N311" s="169">
        <v>1</v>
      </c>
      <c r="O311" s="169">
        <v>1</v>
      </c>
      <c r="P311" s="169" t="s">
        <v>708</v>
      </c>
      <c r="Q311" s="169">
        <v>369</v>
      </c>
      <c r="R311" s="169"/>
    </row>
    <row r="312" spans="1:18" hidden="1">
      <c r="A312" s="169" t="s">
        <v>707</v>
      </c>
      <c r="B312" s="169" t="s">
        <v>702</v>
      </c>
      <c r="C312" s="169" t="s">
        <v>672</v>
      </c>
      <c r="D312" s="169">
        <v>4</v>
      </c>
      <c r="E312" s="169">
        <v>61</v>
      </c>
      <c r="F312" s="169">
        <v>64</v>
      </c>
      <c r="G312" s="169">
        <v>27</v>
      </c>
      <c r="H312" s="169">
        <v>16</v>
      </c>
      <c r="I312" s="169">
        <v>5</v>
      </c>
      <c r="J312" s="169">
        <v>4</v>
      </c>
      <c r="K312" s="169" t="s">
        <v>708</v>
      </c>
      <c r="L312" s="169" t="s">
        <v>708</v>
      </c>
      <c r="M312" s="169" t="s">
        <v>708</v>
      </c>
      <c r="N312" s="169" t="s">
        <v>708</v>
      </c>
      <c r="O312" s="169" t="s">
        <v>708</v>
      </c>
      <c r="P312" s="169" t="s">
        <v>708</v>
      </c>
      <c r="Q312" s="169">
        <v>181</v>
      </c>
      <c r="R312" s="169"/>
    </row>
    <row r="313" spans="1:18" hidden="1">
      <c r="A313" s="169" t="s">
        <v>707</v>
      </c>
      <c r="B313" s="169" t="s">
        <v>702</v>
      </c>
      <c r="C313" s="169" t="s">
        <v>673</v>
      </c>
      <c r="D313" s="169">
        <v>6</v>
      </c>
      <c r="E313" s="169">
        <v>57</v>
      </c>
      <c r="F313" s="169">
        <v>82</v>
      </c>
      <c r="G313" s="169">
        <v>46</v>
      </c>
      <c r="H313" s="169">
        <v>22</v>
      </c>
      <c r="I313" s="169">
        <v>12</v>
      </c>
      <c r="J313" s="169">
        <v>6</v>
      </c>
      <c r="K313" s="169">
        <v>1</v>
      </c>
      <c r="L313" s="169" t="s">
        <v>708</v>
      </c>
      <c r="M313" s="169" t="s">
        <v>708</v>
      </c>
      <c r="N313" s="169" t="s">
        <v>708</v>
      </c>
      <c r="O313" s="169" t="s">
        <v>708</v>
      </c>
      <c r="P313" s="169" t="s">
        <v>708</v>
      </c>
      <c r="Q313" s="169">
        <v>232</v>
      </c>
      <c r="R313" s="169"/>
    </row>
    <row r="314" spans="1:18" hidden="1">
      <c r="A314" s="169" t="s">
        <v>707</v>
      </c>
      <c r="B314" s="169" t="s">
        <v>702</v>
      </c>
      <c r="C314" s="169" t="s">
        <v>674</v>
      </c>
      <c r="D314" s="169">
        <v>3</v>
      </c>
      <c r="E314" s="169">
        <v>30</v>
      </c>
      <c r="F314" s="169">
        <v>59</v>
      </c>
      <c r="G314" s="169">
        <v>33</v>
      </c>
      <c r="H314" s="169">
        <v>15</v>
      </c>
      <c r="I314" s="169">
        <v>7</v>
      </c>
      <c r="J314" s="169">
        <v>2</v>
      </c>
      <c r="K314" s="169">
        <v>4</v>
      </c>
      <c r="L314" s="169">
        <v>1</v>
      </c>
      <c r="M314" s="169" t="s">
        <v>708</v>
      </c>
      <c r="N314" s="169" t="s">
        <v>708</v>
      </c>
      <c r="O314" s="169" t="s">
        <v>708</v>
      </c>
      <c r="P314" s="169" t="s">
        <v>708</v>
      </c>
      <c r="Q314" s="169">
        <v>154</v>
      </c>
      <c r="R314" s="169"/>
    </row>
    <row r="315" spans="1:18" hidden="1">
      <c r="A315" s="169" t="s">
        <v>707</v>
      </c>
      <c r="B315" s="169" t="s">
        <v>702</v>
      </c>
      <c r="C315" s="169" t="s">
        <v>675</v>
      </c>
      <c r="D315" s="169">
        <v>2</v>
      </c>
      <c r="E315" s="169">
        <v>31</v>
      </c>
      <c r="F315" s="169">
        <v>44</v>
      </c>
      <c r="G315" s="169">
        <v>34</v>
      </c>
      <c r="H315" s="169">
        <v>15</v>
      </c>
      <c r="I315" s="169">
        <v>11</v>
      </c>
      <c r="J315" s="169" t="s">
        <v>708</v>
      </c>
      <c r="K315" s="169">
        <v>1</v>
      </c>
      <c r="L315" s="169" t="s">
        <v>708</v>
      </c>
      <c r="M315" s="169" t="s">
        <v>708</v>
      </c>
      <c r="N315" s="169" t="s">
        <v>708</v>
      </c>
      <c r="O315" s="169" t="s">
        <v>708</v>
      </c>
      <c r="P315" s="169" t="s">
        <v>708</v>
      </c>
      <c r="Q315" s="169">
        <v>138</v>
      </c>
      <c r="R315" s="169"/>
    </row>
    <row r="316" spans="1:18" hidden="1">
      <c r="A316" s="169" t="s">
        <v>707</v>
      </c>
      <c r="B316" s="169" t="s">
        <v>702</v>
      </c>
      <c r="C316" s="169" t="s">
        <v>676</v>
      </c>
      <c r="D316" s="169">
        <v>6</v>
      </c>
      <c r="E316" s="169">
        <v>27</v>
      </c>
      <c r="F316" s="169">
        <v>35</v>
      </c>
      <c r="G316" s="169">
        <v>23</v>
      </c>
      <c r="H316" s="169">
        <v>9</v>
      </c>
      <c r="I316" s="169">
        <v>1</v>
      </c>
      <c r="J316" s="169">
        <v>2</v>
      </c>
      <c r="K316" s="169">
        <v>1</v>
      </c>
      <c r="L316" s="169" t="s">
        <v>708</v>
      </c>
      <c r="M316" s="169" t="s">
        <v>708</v>
      </c>
      <c r="N316" s="169" t="s">
        <v>708</v>
      </c>
      <c r="O316" s="169" t="s">
        <v>708</v>
      </c>
      <c r="P316" s="169" t="s">
        <v>708</v>
      </c>
      <c r="Q316" s="169">
        <v>104</v>
      </c>
      <c r="R316" s="169"/>
    </row>
    <row r="317" spans="1:18" hidden="1">
      <c r="A317" s="169" t="s">
        <v>707</v>
      </c>
      <c r="B317" s="169" t="s">
        <v>702</v>
      </c>
      <c r="C317" s="169" t="s">
        <v>677</v>
      </c>
      <c r="D317" s="169" t="s">
        <v>708</v>
      </c>
      <c r="E317" s="169">
        <v>23</v>
      </c>
      <c r="F317" s="169">
        <v>42</v>
      </c>
      <c r="G317" s="169">
        <v>24</v>
      </c>
      <c r="H317" s="169">
        <v>25</v>
      </c>
      <c r="I317" s="169">
        <v>6</v>
      </c>
      <c r="J317" s="169">
        <v>11</v>
      </c>
      <c r="K317" s="169">
        <v>1</v>
      </c>
      <c r="L317" s="169">
        <v>1</v>
      </c>
      <c r="M317" s="169" t="s">
        <v>708</v>
      </c>
      <c r="N317" s="169" t="s">
        <v>708</v>
      </c>
      <c r="O317" s="169" t="s">
        <v>708</v>
      </c>
      <c r="P317" s="169">
        <v>1</v>
      </c>
      <c r="Q317" s="169">
        <v>134</v>
      </c>
      <c r="R317" s="169"/>
    </row>
    <row r="318" spans="1:18" hidden="1">
      <c r="A318" s="169" t="s">
        <v>707</v>
      </c>
      <c r="B318" s="169" t="s">
        <v>702</v>
      </c>
      <c r="C318" s="169" t="s">
        <v>678</v>
      </c>
      <c r="D318" s="169">
        <v>87</v>
      </c>
      <c r="E318" s="169">
        <v>833</v>
      </c>
      <c r="F318" s="169">
        <v>1242</v>
      </c>
      <c r="G318" s="169">
        <v>733</v>
      </c>
      <c r="H318" s="169">
        <v>318</v>
      </c>
      <c r="I318" s="169">
        <v>123</v>
      </c>
      <c r="J318" s="169">
        <v>47</v>
      </c>
      <c r="K318" s="169">
        <v>18</v>
      </c>
      <c r="L318" s="169">
        <v>7</v>
      </c>
      <c r="M318" s="169">
        <v>2</v>
      </c>
      <c r="N318" s="169">
        <v>1</v>
      </c>
      <c r="O318" s="169" t="s">
        <v>708</v>
      </c>
      <c r="P318" s="169" t="s">
        <v>708</v>
      </c>
      <c r="Q318" s="169">
        <v>3411</v>
      </c>
      <c r="R318" s="169"/>
    </row>
    <row r="319" spans="1:18" hidden="1">
      <c r="A319" s="169" t="s">
        <v>707</v>
      </c>
      <c r="B319" s="169" t="s">
        <v>702</v>
      </c>
      <c r="C319" s="169" t="s">
        <v>679</v>
      </c>
      <c r="D319" s="169">
        <v>2</v>
      </c>
      <c r="E319" s="169">
        <v>14</v>
      </c>
      <c r="F319" s="169">
        <v>26</v>
      </c>
      <c r="G319" s="169">
        <v>33</v>
      </c>
      <c r="H319" s="169">
        <v>16</v>
      </c>
      <c r="I319" s="169">
        <v>10</v>
      </c>
      <c r="J319" s="169">
        <v>3</v>
      </c>
      <c r="K319" s="169" t="s">
        <v>708</v>
      </c>
      <c r="L319" s="169" t="s">
        <v>708</v>
      </c>
      <c r="M319" s="169" t="s">
        <v>708</v>
      </c>
      <c r="N319" s="169">
        <v>1</v>
      </c>
      <c r="O319" s="169">
        <v>2</v>
      </c>
      <c r="P319" s="169">
        <v>1</v>
      </c>
      <c r="Q319" s="169">
        <v>108</v>
      </c>
      <c r="R319" s="169"/>
    </row>
    <row r="320" spans="1:18" hidden="1">
      <c r="A320" s="169" t="s">
        <v>707</v>
      </c>
      <c r="B320" s="169" t="s">
        <v>702</v>
      </c>
      <c r="C320" s="169" t="s">
        <v>680</v>
      </c>
      <c r="D320" s="169">
        <v>2</v>
      </c>
      <c r="E320" s="169">
        <v>7</v>
      </c>
      <c r="F320" s="169">
        <v>32</v>
      </c>
      <c r="G320" s="169">
        <v>18</v>
      </c>
      <c r="H320" s="169">
        <v>5</v>
      </c>
      <c r="I320" s="169">
        <v>6</v>
      </c>
      <c r="J320" s="169">
        <v>1</v>
      </c>
      <c r="K320" s="169" t="s">
        <v>708</v>
      </c>
      <c r="L320" s="169" t="s">
        <v>708</v>
      </c>
      <c r="M320" s="169">
        <v>1</v>
      </c>
      <c r="N320" s="169" t="s">
        <v>708</v>
      </c>
      <c r="O320" s="169" t="s">
        <v>708</v>
      </c>
      <c r="P320" s="169" t="s">
        <v>708</v>
      </c>
      <c r="Q320" s="169">
        <v>72</v>
      </c>
      <c r="R320" s="169"/>
    </row>
    <row r="321" spans="1:18" hidden="1">
      <c r="A321" s="169" t="s">
        <v>707</v>
      </c>
      <c r="B321" s="169" t="s">
        <v>702</v>
      </c>
      <c r="C321" s="169" t="s">
        <v>681</v>
      </c>
      <c r="D321" s="169">
        <v>1</v>
      </c>
      <c r="E321" s="169">
        <v>29</v>
      </c>
      <c r="F321" s="169">
        <v>33</v>
      </c>
      <c r="G321" s="169">
        <v>22</v>
      </c>
      <c r="H321" s="169">
        <v>8</v>
      </c>
      <c r="I321" s="169">
        <v>1</v>
      </c>
      <c r="J321" s="169">
        <v>1</v>
      </c>
      <c r="K321" s="169">
        <v>2</v>
      </c>
      <c r="L321" s="169" t="s">
        <v>708</v>
      </c>
      <c r="M321" s="169" t="s">
        <v>708</v>
      </c>
      <c r="N321" s="169">
        <v>1</v>
      </c>
      <c r="O321" s="169" t="s">
        <v>708</v>
      </c>
      <c r="P321" s="169" t="s">
        <v>708</v>
      </c>
      <c r="Q321" s="169">
        <v>98</v>
      </c>
      <c r="R321" s="169"/>
    </row>
    <row r="322" spans="1:18" hidden="1">
      <c r="A322" s="169" t="s">
        <v>707</v>
      </c>
      <c r="B322" s="169" t="s">
        <v>702</v>
      </c>
      <c r="C322" s="169" t="s">
        <v>682</v>
      </c>
      <c r="D322" s="169">
        <v>2</v>
      </c>
      <c r="E322" s="169">
        <v>4</v>
      </c>
      <c r="F322" s="169">
        <v>7</v>
      </c>
      <c r="G322" s="169">
        <v>7</v>
      </c>
      <c r="H322" s="169">
        <v>1</v>
      </c>
      <c r="I322" s="169" t="s">
        <v>708</v>
      </c>
      <c r="J322" s="169" t="s">
        <v>708</v>
      </c>
      <c r="K322" s="169" t="s">
        <v>708</v>
      </c>
      <c r="L322" s="169">
        <v>1</v>
      </c>
      <c r="M322" s="169" t="s">
        <v>708</v>
      </c>
      <c r="N322" s="169" t="s">
        <v>708</v>
      </c>
      <c r="O322" s="169" t="s">
        <v>708</v>
      </c>
      <c r="P322" s="169" t="s">
        <v>708</v>
      </c>
      <c r="Q322" s="169">
        <v>22</v>
      </c>
      <c r="R322" s="169"/>
    </row>
    <row r="323" spans="1:18" hidden="1">
      <c r="A323" s="169" t="s">
        <v>707</v>
      </c>
      <c r="B323" s="169" t="s">
        <v>702</v>
      </c>
      <c r="C323" s="169" t="s">
        <v>683</v>
      </c>
      <c r="D323" s="169" t="s">
        <v>708</v>
      </c>
      <c r="E323" s="169">
        <v>11</v>
      </c>
      <c r="F323" s="169">
        <v>17</v>
      </c>
      <c r="G323" s="169">
        <v>6</v>
      </c>
      <c r="H323" s="169">
        <v>7</v>
      </c>
      <c r="I323" s="169">
        <v>1</v>
      </c>
      <c r="J323" s="169">
        <v>1</v>
      </c>
      <c r="K323" s="169" t="s">
        <v>708</v>
      </c>
      <c r="L323" s="169" t="s">
        <v>708</v>
      </c>
      <c r="M323" s="169" t="s">
        <v>708</v>
      </c>
      <c r="N323" s="169" t="s">
        <v>708</v>
      </c>
      <c r="O323" s="169" t="s">
        <v>708</v>
      </c>
      <c r="P323" s="169" t="s">
        <v>708</v>
      </c>
      <c r="Q323" s="169">
        <v>43</v>
      </c>
      <c r="R323" s="169"/>
    </row>
    <row r="324" spans="1:18" hidden="1">
      <c r="A324" s="169" t="s">
        <v>707</v>
      </c>
      <c r="B324" s="169" t="s">
        <v>702</v>
      </c>
      <c r="C324" s="169" t="s">
        <v>684</v>
      </c>
      <c r="D324" s="169" t="s">
        <v>708</v>
      </c>
      <c r="E324" s="169">
        <v>1</v>
      </c>
      <c r="F324" s="169">
        <v>2</v>
      </c>
      <c r="G324" s="169">
        <v>2</v>
      </c>
      <c r="H324" s="169" t="s">
        <v>708</v>
      </c>
      <c r="I324" s="169">
        <v>1</v>
      </c>
      <c r="J324" s="169" t="s">
        <v>708</v>
      </c>
      <c r="K324" s="169" t="s">
        <v>708</v>
      </c>
      <c r="L324" s="169" t="s">
        <v>708</v>
      </c>
      <c r="M324" s="169" t="s">
        <v>708</v>
      </c>
      <c r="N324" s="169" t="s">
        <v>708</v>
      </c>
      <c r="O324" s="169" t="s">
        <v>708</v>
      </c>
      <c r="P324" s="169" t="s">
        <v>708</v>
      </c>
      <c r="Q324" s="169">
        <v>6</v>
      </c>
      <c r="R324" s="169"/>
    </row>
    <row r="325" spans="1:18" hidden="1">
      <c r="A325" s="169" t="s">
        <v>707</v>
      </c>
      <c r="B325" s="169" t="s">
        <v>702</v>
      </c>
      <c r="C325" s="169" t="s">
        <v>685</v>
      </c>
      <c r="D325" s="169">
        <v>138</v>
      </c>
      <c r="E325" s="169">
        <v>1515</v>
      </c>
      <c r="F325" s="169">
        <v>2144</v>
      </c>
      <c r="G325" s="169">
        <v>950</v>
      </c>
      <c r="H325" s="169">
        <v>358</v>
      </c>
      <c r="I325" s="169">
        <v>141</v>
      </c>
      <c r="J325" s="169">
        <v>47</v>
      </c>
      <c r="K325" s="169">
        <v>19</v>
      </c>
      <c r="L325" s="169">
        <v>8</v>
      </c>
      <c r="M325" s="169">
        <v>2</v>
      </c>
      <c r="N325" s="169" t="s">
        <v>708</v>
      </c>
      <c r="O325" s="169">
        <v>1</v>
      </c>
      <c r="P325" s="169">
        <v>1</v>
      </c>
      <c r="Q325" s="169">
        <v>5324</v>
      </c>
      <c r="R325" s="169"/>
    </row>
    <row r="326" spans="1:18" hidden="1">
      <c r="A326" s="169" t="s">
        <v>707</v>
      </c>
      <c r="B326" s="169" t="s">
        <v>702</v>
      </c>
      <c r="C326" s="169" t="s">
        <v>686</v>
      </c>
      <c r="D326" s="169">
        <v>7</v>
      </c>
      <c r="E326" s="169">
        <v>35</v>
      </c>
      <c r="F326" s="169">
        <v>65</v>
      </c>
      <c r="G326" s="169">
        <v>44</v>
      </c>
      <c r="H326" s="169">
        <v>15</v>
      </c>
      <c r="I326" s="169">
        <v>12</v>
      </c>
      <c r="J326" s="169">
        <v>5</v>
      </c>
      <c r="K326" s="169">
        <v>6</v>
      </c>
      <c r="L326" s="169" t="s">
        <v>708</v>
      </c>
      <c r="M326" s="169" t="s">
        <v>708</v>
      </c>
      <c r="N326" s="169" t="s">
        <v>708</v>
      </c>
      <c r="O326" s="169" t="s">
        <v>708</v>
      </c>
      <c r="P326" s="169" t="s">
        <v>708</v>
      </c>
      <c r="Q326" s="169">
        <v>189</v>
      </c>
      <c r="R326" s="169"/>
    </row>
    <row r="327" spans="1:18" hidden="1">
      <c r="A327" s="169" t="s">
        <v>707</v>
      </c>
      <c r="B327" s="169" t="s">
        <v>702</v>
      </c>
      <c r="C327" s="169" t="s">
        <v>687</v>
      </c>
      <c r="D327" s="169">
        <v>7</v>
      </c>
      <c r="E327" s="169">
        <v>51</v>
      </c>
      <c r="F327" s="169">
        <v>87</v>
      </c>
      <c r="G327" s="169">
        <v>57</v>
      </c>
      <c r="H327" s="169">
        <v>35</v>
      </c>
      <c r="I327" s="169">
        <v>15</v>
      </c>
      <c r="J327" s="169">
        <v>4</v>
      </c>
      <c r="K327" s="169">
        <v>1</v>
      </c>
      <c r="L327" s="169">
        <v>1</v>
      </c>
      <c r="M327" s="169" t="s">
        <v>708</v>
      </c>
      <c r="N327" s="169" t="s">
        <v>708</v>
      </c>
      <c r="O327" s="169">
        <v>1</v>
      </c>
      <c r="P327" s="169" t="s">
        <v>708</v>
      </c>
      <c r="Q327" s="169">
        <v>259</v>
      </c>
      <c r="R327" s="169"/>
    </row>
    <row r="328" spans="1:18" hidden="1">
      <c r="A328" s="169" t="s">
        <v>707</v>
      </c>
      <c r="B328" s="169" t="s">
        <v>702</v>
      </c>
      <c r="C328" s="169" t="s">
        <v>688</v>
      </c>
      <c r="D328" s="169">
        <v>2</v>
      </c>
      <c r="E328" s="169">
        <v>4</v>
      </c>
      <c r="F328" s="169">
        <v>17</v>
      </c>
      <c r="G328" s="169">
        <v>14</v>
      </c>
      <c r="H328" s="169">
        <v>4</v>
      </c>
      <c r="I328" s="169">
        <v>2</v>
      </c>
      <c r="J328" s="169" t="s">
        <v>708</v>
      </c>
      <c r="K328" s="169">
        <v>1</v>
      </c>
      <c r="L328" s="169" t="s">
        <v>708</v>
      </c>
      <c r="M328" s="169" t="s">
        <v>708</v>
      </c>
      <c r="N328" s="169" t="s">
        <v>708</v>
      </c>
      <c r="O328" s="169" t="s">
        <v>708</v>
      </c>
      <c r="P328" s="169" t="s">
        <v>708</v>
      </c>
      <c r="Q328" s="169">
        <v>44</v>
      </c>
      <c r="R328" s="169"/>
    </row>
    <row r="329" spans="1:18" hidden="1">
      <c r="A329" s="169" t="s">
        <v>707</v>
      </c>
      <c r="B329" s="169" t="s">
        <v>702</v>
      </c>
      <c r="C329" s="169" t="s">
        <v>689</v>
      </c>
      <c r="D329" s="169">
        <v>5</v>
      </c>
      <c r="E329" s="169">
        <v>59</v>
      </c>
      <c r="F329" s="169">
        <v>89</v>
      </c>
      <c r="G329" s="169">
        <v>52</v>
      </c>
      <c r="H329" s="169">
        <v>23</v>
      </c>
      <c r="I329" s="169">
        <v>5</v>
      </c>
      <c r="J329" s="169">
        <v>2</v>
      </c>
      <c r="K329" s="169">
        <v>1</v>
      </c>
      <c r="L329" s="169" t="s">
        <v>708</v>
      </c>
      <c r="M329" s="169">
        <v>1</v>
      </c>
      <c r="N329" s="169" t="s">
        <v>708</v>
      </c>
      <c r="O329" s="169" t="s">
        <v>708</v>
      </c>
      <c r="P329" s="169" t="s">
        <v>708</v>
      </c>
      <c r="Q329" s="169">
        <v>237</v>
      </c>
      <c r="R329" s="169"/>
    </row>
    <row r="330" spans="1:18" hidden="1">
      <c r="A330" s="169" t="s">
        <v>707</v>
      </c>
      <c r="B330" s="169" t="s">
        <v>702</v>
      </c>
      <c r="C330" s="169" t="s">
        <v>690</v>
      </c>
      <c r="D330" s="169" t="s">
        <v>708</v>
      </c>
      <c r="E330" s="169">
        <v>5</v>
      </c>
      <c r="F330" s="169">
        <v>5</v>
      </c>
      <c r="G330" s="169">
        <v>7</v>
      </c>
      <c r="H330" s="169">
        <v>2</v>
      </c>
      <c r="I330" s="169" t="s">
        <v>708</v>
      </c>
      <c r="J330" s="169" t="s">
        <v>708</v>
      </c>
      <c r="K330" s="169" t="s">
        <v>708</v>
      </c>
      <c r="L330" s="169" t="s">
        <v>708</v>
      </c>
      <c r="M330" s="169" t="s">
        <v>708</v>
      </c>
      <c r="N330" s="169" t="s">
        <v>708</v>
      </c>
      <c r="O330" s="169" t="s">
        <v>708</v>
      </c>
      <c r="P330" s="169" t="s">
        <v>708</v>
      </c>
      <c r="Q330" s="169">
        <v>19</v>
      </c>
      <c r="R330" s="169"/>
    </row>
    <row r="331" spans="1:18" hidden="1">
      <c r="A331" s="169" t="s">
        <v>707</v>
      </c>
      <c r="B331" s="169" t="s">
        <v>702</v>
      </c>
      <c r="C331" s="169" t="s">
        <v>691</v>
      </c>
      <c r="D331" s="169">
        <v>78</v>
      </c>
      <c r="E331" s="169">
        <v>617</v>
      </c>
      <c r="F331" s="169">
        <v>879</v>
      </c>
      <c r="G331" s="169">
        <v>500</v>
      </c>
      <c r="H331" s="169">
        <v>204</v>
      </c>
      <c r="I331" s="169">
        <v>66</v>
      </c>
      <c r="J331" s="169">
        <v>28</v>
      </c>
      <c r="K331" s="169">
        <v>4</v>
      </c>
      <c r="L331" s="169">
        <v>6</v>
      </c>
      <c r="M331" s="169">
        <v>4</v>
      </c>
      <c r="N331" s="169" t="s">
        <v>708</v>
      </c>
      <c r="O331" s="169">
        <v>1</v>
      </c>
      <c r="P331" s="169">
        <v>1</v>
      </c>
      <c r="Q331" s="169">
        <v>2388</v>
      </c>
      <c r="R331" s="169"/>
    </row>
    <row r="332" spans="1:18" hidden="1">
      <c r="A332" s="169" t="s">
        <v>707</v>
      </c>
      <c r="B332" s="169" t="s">
        <v>702</v>
      </c>
      <c r="C332" s="169" t="s">
        <v>692</v>
      </c>
      <c r="D332" s="169" t="s">
        <v>708</v>
      </c>
      <c r="E332" s="169">
        <v>20</v>
      </c>
      <c r="F332" s="169">
        <v>38</v>
      </c>
      <c r="G332" s="169">
        <v>37</v>
      </c>
      <c r="H332" s="169">
        <v>15</v>
      </c>
      <c r="I332" s="169">
        <v>4</v>
      </c>
      <c r="J332" s="169">
        <v>5</v>
      </c>
      <c r="K332" s="169">
        <v>3</v>
      </c>
      <c r="L332" s="169" t="s">
        <v>708</v>
      </c>
      <c r="M332" s="169" t="s">
        <v>708</v>
      </c>
      <c r="N332" s="169" t="s">
        <v>708</v>
      </c>
      <c r="O332" s="169" t="s">
        <v>708</v>
      </c>
      <c r="P332" s="169">
        <v>1</v>
      </c>
      <c r="Q332" s="169">
        <v>123</v>
      </c>
      <c r="R332" s="169"/>
    </row>
    <row r="333" spans="1:18" hidden="1">
      <c r="A333" s="169" t="s">
        <v>707</v>
      </c>
      <c r="B333" s="169" t="s">
        <v>702</v>
      </c>
      <c r="C333" s="169" t="s">
        <v>693</v>
      </c>
      <c r="D333" s="169">
        <v>3</v>
      </c>
      <c r="E333" s="169">
        <v>42</v>
      </c>
      <c r="F333" s="169">
        <v>67</v>
      </c>
      <c r="G333" s="169">
        <v>29</v>
      </c>
      <c r="H333" s="169">
        <v>10</v>
      </c>
      <c r="I333" s="169">
        <v>12</v>
      </c>
      <c r="J333" s="169">
        <v>1</v>
      </c>
      <c r="K333" s="169" t="s">
        <v>708</v>
      </c>
      <c r="L333" s="169" t="s">
        <v>708</v>
      </c>
      <c r="M333" s="169" t="s">
        <v>708</v>
      </c>
      <c r="N333" s="169" t="s">
        <v>708</v>
      </c>
      <c r="O333" s="169" t="s">
        <v>708</v>
      </c>
      <c r="P333" s="169" t="s">
        <v>708</v>
      </c>
      <c r="Q333" s="169">
        <v>164</v>
      </c>
      <c r="R333" s="169"/>
    </row>
    <row r="334" spans="1:18" hidden="1">
      <c r="A334" s="169" t="s">
        <v>707</v>
      </c>
      <c r="B334" s="169" t="s">
        <v>702</v>
      </c>
      <c r="C334" s="169" t="s">
        <v>694</v>
      </c>
      <c r="D334" s="169">
        <v>67</v>
      </c>
      <c r="E334" s="169">
        <v>867</v>
      </c>
      <c r="F334" s="169">
        <v>1479</v>
      </c>
      <c r="G334" s="169">
        <v>761</v>
      </c>
      <c r="H334" s="169">
        <v>340</v>
      </c>
      <c r="I334" s="169">
        <v>100</v>
      </c>
      <c r="J334" s="169">
        <v>49</v>
      </c>
      <c r="K334" s="169">
        <v>22</v>
      </c>
      <c r="L334" s="169">
        <v>7</v>
      </c>
      <c r="M334" s="169">
        <v>4</v>
      </c>
      <c r="N334" s="169">
        <v>2</v>
      </c>
      <c r="O334" s="169" t="s">
        <v>708</v>
      </c>
      <c r="P334" s="169">
        <v>2</v>
      </c>
      <c r="Q334" s="169">
        <v>3700</v>
      </c>
      <c r="R334" s="169"/>
    </row>
    <row r="335" spans="1:18" hidden="1">
      <c r="A335" s="169" t="s">
        <v>707</v>
      </c>
      <c r="B335" s="169" t="s">
        <v>702</v>
      </c>
      <c r="C335" s="169" t="s">
        <v>695</v>
      </c>
      <c r="D335" s="169" t="s">
        <v>708</v>
      </c>
      <c r="E335" s="169">
        <v>4</v>
      </c>
      <c r="F335" s="169">
        <v>11</v>
      </c>
      <c r="G335" s="169">
        <v>9</v>
      </c>
      <c r="H335" s="169">
        <v>3</v>
      </c>
      <c r="I335" s="169" t="s">
        <v>708</v>
      </c>
      <c r="J335" s="169" t="s">
        <v>708</v>
      </c>
      <c r="K335" s="169">
        <v>1</v>
      </c>
      <c r="L335" s="169" t="s">
        <v>708</v>
      </c>
      <c r="M335" s="169">
        <v>1</v>
      </c>
      <c r="N335" s="169" t="s">
        <v>708</v>
      </c>
      <c r="O335" s="169" t="s">
        <v>708</v>
      </c>
      <c r="P335" s="169" t="s">
        <v>708</v>
      </c>
      <c r="Q335" s="169">
        <v>29</v>
      </c>
      <c r="R335" s="169"/>
    </row>
    <row r="336" spans="1:18" hidden="1">
      <c r="A336" s="169" t="s">
        <v>707</v>
      </c>
      <c r="B336" s="169" t="s">
        <v>702</v>
      </c>
      <c r="C336" s="169" t="s">
        <v>696</v>
      </c>
      <c r="D336" s="169">
        <v>2</v>
      </c>
      <c r="E336" s="169">
        <v>32</v>
      </c>
      <c r="F336" s="169">
        <v>48</v>
      </c>
      <c r="G336" s="169">
        <v>42</v>
      </c>
      <c r="H336" s="169">
        <v>23</v>
      </c>
      <c r="I336" s="169">
        <v>5</v>
      </c>
      <c r="J336" s="169">
        <v>1</v>
      </c>
      <c r="K336" s="169">
        <v>1</v>
      </c>
      <c r="L336" s="169" t="s">
        <v>708</v>
      </c>
      <c r="M336" s="169" t="s">
        <v>708</v>
      </c>
      <c r="N336" s="169" t="s">
        <v>708</v>
      </c>
      <c r="O336" s="169" t="s">
        <v>708</v>
      </c>
      <c r="P336" s="169" t="s">
        <v>708</v>
      </c>
      <c r="Q336" s="169">
        <v>154</v>
      </c>
      <c r="R336" s="169"/>
    </row>
    <row r="337" spans="1:18" hidden="1">
      <c r="A337" s="169" t="s">
        <v>707</v>
      </c>
      <c r="B337" s="169" t="s">
        <v>702</v>
      </c>
      <c r="C337" s="169" t="s">
        <v>697</v>
      </c>
      <c r="D337" s="169">
        <v>10</v>
      </c>
      <c r="E337" s="169">
        <v>60</v>
      </c>
      <c r="F337" s="169">
        <v>101</v>
      </c>
      <c r="G337" s="169">
        <v>42</v>
      </c>
      <c r="H337" s="169">
        <v>16</v>
      </c>
      <c r="I337" s="169">
        <v>5</v>
      </c>
      <c r="J337" s="169">
        <v>3</v>
      </c>
      <c r="K337" s="169" t="s">
        <v>708</v>
      </c>
      <c r="L337" s="169" t="s">
        <v>708</v>
      </c>
      <c r="M337" s="169">
        <v>1</v>
      </c>
      <c r="N337" s="169" t="s">
        <v>708</v>
      </c>
      <c r="O337" s="169" t="s">
        <v>708</v>
      </c>
      <c r="P337" s="169" t="s">
        <v>708</v>
      </c>
      <c r="Q337" s="169">
        <v>238</v>
      </c>
      <c r="R337" s="169"/>
    </row>
    <row r="338" spans="1:18" hidden="1">
      <c r="A338" s="169" t="s">
        <v>707</v>
      </c>
      <c r="B338" s="169" t="s">
        <v>702</v>
      </c>
      <c r="C338" s="169" t="s">
        <v>698</v>
      </c>
      <c r="D338" s="169">
        <v>1</v>
      </c>
      <c r="E338" s="169">
        <v>16</v>
      </c>
      <c r="F338" s="169">
        <v>42</v>
      </c>
      <c r="G338" s="169">
        <v>26</v>
      </c>
      <c r="H338" s="169">
        <v>10</v>
      </c>
      <c r="I338" s="169">
        <v>4</v>
      </c>
      <c r="J338" s="169">
        <v>1</v>
      </c>
      <c r="K338" s="169">
        <v>1</v>
      </c>
      <c r="L338" s="169" t="s">
        <v>708</v>
      </c>
      <c r="M338" s="169" t="s">
        <v>708</v>
      </c>
      <c r="N338" s="169" t="s">
        <v>708</v>
      </c>
      <c r="O338" s="169" t="s">
        <v>708</v>
      </c>
      <c r="P338" s="169" t="s">
        <v>708</v>
      </c>
      <c r="Q338" s="169">
        <v>101</v>
      </c>
      <c r="R338" s="169"/>
    </row>
    <row r="339" spans="1:18" hidden="1">
      <c r="A339" s="169" t="s">
        <v>707</v>
      </c>
      <c r="B339" s="169" t="s">
        <v>702</v>
      </c>
      <c r="C339" s="169" t="s">
        <v>699</v>
      </c>
      <c r="D339" s="169">
        <v>42</v>
      </c>
      <c r="E339" s="169">
        <v>837</v>
      </c>
      <c r="F339" s="169">
        <v>1479</v>
      </c>
      <c r="G339" s="169">
        <v>869</v>
      </c>
      <c r="H339" s="169">
        <v>387</v>
      </c>
      <c r="I339" s="169">
        <v>131</v>
      </c>
      <c r="J339" s="169">
        <v>70</v>
      </c>
      <c r="K339" s="169">
        <v>20</v>
      </c>
      <c r="L339" s="169">
        <v>15</v>
      </c>
      <c r="M339" s="169">
        <v>6</v>
      </c>
      <c r="N339" s="169">
        <v>5</v>
      </c>
      <c r="O339" s="169">
        <v>2</v>
      </c>
      <c r="P339" s="169">
        <v>1</v>
      </c>
      <c r="Q339" s="169">
        <v>3864</v>
      </c>
      <c r="R339" s="169"/>
    </row>
    <row r="340" spans="1:18" hidden="1">
      <c r="A340" s="169" t="s">
        <v>707</v>
      </c>
      <c r="B340" s="169" t="s">
        <v>702</v>
      </c>
      <c r="C340" s="169" t="s">
        <v>700</v>
      </c>
      <c r="D340" s="169">
        <v>6</v>
      </c>
      <c r="E340" s="169">
        <v>34</v>
      </c>
      <c r="F340" s="169">
        <v>34</v>
      </c>
      <c r="G340" s="169">
        <v>20</v>
      </c>
      <c r="H340" s="169">
        <v>5</v>
      </c>
      <c r="I340" s="169">
        <v>2</v>
      </c>
      <c r="J340" s="169">
        <v>1</v>
      </c>
      <c r="K340" s="169" t="s">
        <v>708</v>
      </c>
      <c r="L340" s="169" t="s">
        <v>708</v>
      </c>
      <c r="M340" s="169" t="s">
        <v>708</v>
      </c>
      <c r="N340" s="169" t="s">
        <v>708</v>
      </c>
      <c r="O340" s="169" t="s">
        <v>708</v>
      </c>
      <c r="P340" s="169" t="s">
        <v>708</v>
      </c>
      <c r="Q340" s="169">
        <v>102</v>
      </c>
      <c r="R340" s="169"/>
    </row>
    <row r="341" spans="1:18" hidden="1">
      <c r="A341" s="169" t="s">
        <v>707</v>
      </c>
      <c r="B341" s="169" t="s">
        <v>702</v>
      </c>
      <c r="C341" s="169" t="s">
        <v>701</v>
      </c>
      <c r="D341" s="169">
        <v>2</v>
      </c>
      <c r="E341" s="169">
        <v>15</v>
      </c>
      <c r="F341" s="169">
        <v>26</v>
      </c>
      <c r="G341" s="169">
        <v>22</v>
      </c>
      <c r="H341" s="169">
        <v>14</v>
      </c>
      <c r="I341" s="169">
        <v>2</v>
      </c>
      <c r="J341" s="169" t="s">
        <v>708</v>
      </c>
      <c r="K341" s="169">
        <v>1</v>
      </c>
      <c r="L341" s="169">
        <v>4</v>
      </c>
      <c r="M341" s="169">
        <v>2</v>
      </c>
      <c r="N341" s="169">
        <v>1</v>
      </c>
      <c r="O341" s="169" t="s">
        <v>708</v>
      </c>
      <c r="P341" s="169" t="s">
        <v>708</v>
      </c>
      <c r="Q341" s="169">
        <v>89</v>
      </c>
      <c r="R341" s="169"/>
    </row>
    <row r="342" spans="1:18" hidden="1">
      <c r="A342" s="169" t="s">
        <v>707</v>
      </c>
      <c r="B342" s="169" t="s">
        <v>702</v>
      </c>
      <c r="C342" s="169" t="s">
        <v>649</v>
      </c>
      <c r="D342" s="169">
        <v>639</v>
      </c>
      <c r="E342" s="169">
        <v>7145</v>
      </c>
      <c r="F342" s="169">
        <v>11198</v>
      </c>
      <c r="G342" s="169">
        <v>6243</v>
      </c>
      <c r="H342" s="169">
        <v>2711</v>
      </c>
      <c r="I342" s="169">
        <v>1005</v>
      </c>
      <c r="J342" s="169">
        <v>420</v>
      </c>
      <c r="K342" s="169">
        <v>163</v>
      </c>
      <c r="L342" s="169">
        <v>73</v>
      </c>
      <c r="M342" s="169">
        <v>35</v>
      </c>
      <c r="N342" s="169">
        <v>22</v>
      </c>
      <c r="O342" s="169">
        <v>9</v>
      </c>
      <c r="P342" s="169">
        <v>17</v>
      </c>
      <c r="Q342" s="169">
        <v>29680</v>
      </c>
      <c r="R342" s="169"/>
    </row>
    <row r="343" spans="1:18" hidden="1">
      <c r="A343" s="169" t="s">
        <v>707</v>
      </c>
      <c r="B343" s="169" t="s">
        <v>703</v>
      </c>
      <c r="C343" s="169" t="s">
        <v>653</v>
      </c>
      <c r="D343" s="169" t="s">
        <v>708</v>
      </c>
      <c r="E343" s="169">
        <v>5</v>
      </c>
      <c r="F343" s="169">
        <v>12</v>
      </c>
      <c r="G343" s="169">
        <v>3</v>
      </c>
      <c r="H343" s="169">
        <v>3</v>
      </c>
      <c r="I343" s="169" t="s">
        <v>708</v>
      </c>
      <c r="J343" s="169">
        <v>1</v>
      </c>
      <c r="K343" s="169" t="s">
        <v>708</v>
      </c>
      <c r="L343" s="169" t="s">
        <v>708</v>
      </c>
      <c r="M343" s="169" t="s">
        <v>708</v>
      </c>
      <c r="N343" s="169" t="s">
        <v>708</v>
      </c>
      <c r="O343" s="169" t="s">
        <v>708</v>
      </c>
      <c r="P343" s="169" t="s">
        <v>708</v>
      </c>
      <c r="Q343" s="169">
        <v>24</v>
      </c>
      <c r="R343" s="169"/>
    </row>
    <row r="344" spans="1:18" hidden="1">
      <c r="A344" s="169" t="s">
        <v>707</v>
      </c>
      <c r="B344" s="169" t="s">
        <v>703</v>
      </c>
      <c r="C344" s="169" t="s">
        <v>654</v>
      </c>
      <c r="D344" s="169">
        <v>2</v>
      </c>
      <c r="E344" s="169">
        <v>5</v>
      </c>
      <c r="F344" s="169">
        <v>16</v>
      </c>
      <c r="G344" s="169">
        <v>5</v>
      </c>
      <c r="H344" s="169">
        <v>2</v>
      </c>
      <c r="I344" s="169" t="s">
        <v>708</v>
      </c>
      <c r="J344" s="169" t="s">
        <v>708</v>
      </c>
      <c r="K344" s="169" t="s">
        <v>708</v>
      </c>
      <c r="L344" s="169" t="s">
        <v>708</v>
      </c>
      <c r="M344" s="169" t="s">
        <v>708</v>
      </c>
      <c r="N344" s="169" t="s">
        <v>708</v>
      </c>
      <c r="O344" s="169" t="s">
        <v>708</v>
      </c>
      <c r="P344" s="169" t="s">
        <v>708</v>
      </c>
      <c r="Q344" s="169">
        <v>30</v>
      </c>
      <c r="R344" s="169"/>
    </row>
    <row r="345" spans="1:18" hidden="1">
      <c r="A345" s="169" t="s">
        <v>707</v>
      </c>
      <c r="B345" s="169" t="s">
        <v>703</v>
      </c>
      <c r="C345" s="169" t="s">
        <v>655</v>
      </c>
      <c r="D345" s="169" t="s">
        <v>708</v>
      </c>
      <c r="E345" s="169">
        <v>3</v>
      </c>
      <c r="F345" s="169">
        <v>4</v>
      </c>
      <c r="G345" s="169" t="s">
        <v>708</v>
      </c>
      <c r="H345" s="169" t="s">
        <v>708</v>
      </c>
      <c r="I345" s="169" t="s">
        <v>708</v>
      </c>
      <c r="J345" s="169" t="s">
        <v>708</v>
      </c>
      <c r="K345" s="169" t="s">
        <v>708</v>
      </c>
      <c r="L345" s="169" t="s">
        <v>708</v>
      </c>
      <c r="M345" s="169" t="s">
        <v>708</v>
      </c>
      <c r="N345" s="169" t="s">
        <v>708</v>
      </c>
      <c r="O345" s="169" t="s">
        <v>708</v>
      </c>
      <c r="P345" s="169" t="s">
        <v>708</v>
      </c>
      <c r="Q345" s="169">
        <v>7</v>
      </c>
      <c r="R345" s="169"/>
    </row>
    <row r="346" spans="1:18" hidden="1">
      <c r="A346" s="169" t="s">
        <v>707</v>
      </c>
      <c r="B346" s="169" t="s">
        <v>703</v>
      </c>
      <c r="C346" s="169" t="s">
        <v>656</v>
      </c>
      <c r="D346" s="169">
        <v>9</v>
      </c>
      <c r="E346" s="169">
        <v>129</v>
      </c>
      <c r="F346" s="169">
        <v>169</v>
      </c>
      <c r="G346" s="169">
        <v>80</v>
      </c>
      <c r="H346" s="169">
        <v>24</v>
      </c>
      <c r="I346" s="169">
        <v>9</v>
      </c>
      <c r="J346" s="169">
        <v>5</v>
      </c>
      <c r="K346" s="169" t="s">
        <v>708</v>
      </c>
      <c r="L346" s="169" t="s">
        <v>708</v>
      </c>
      <c r="M346" s="169" t="s">
        <v>708</v>
      </c>
      <c r="N346" s="169">
        <v>1</v>
      </c>
      <c r="O346" s="169" t="s">
        <v>708</v>
      </c>
      <c r="P346" s="169" t="s">
        <v>708</v>
      </c>
      <c r="Q346" s="169">
        <v>426</v>
      </c>
      <c r="R346" s="169"/>
    </row>
    <row r="347" spans="1:18" hidden="1">
      <c r="A347" s="169" t="s">
        <v>707</v>
      </c>
      <c r="B347" s="169" t="s">
        <v>703</v>
      </c>
      <c r="C347" s="169" t="s">
        <v>288</v>
      </c>
      <c r="D347" s="169">
        <v>122</v>
      </c>
      <c r="E347" s="169">
        <v>1770</v>
      </c>
      <c r="F347" s="169">
        <v>2573</v>
      </c>
      <c r="G347" s="169">
        <v>1077</v>
      </c>
      <c r="H347" s="169">
        <v>386</v>
      </c>
      <c r="I347" s="169">
        <v>118</v>
      </c>
      <c r="J347" s="169">
        <v>32</v>
      </c>
      <c r="K347" s="169">
        <v>22</v>
      </c>
      <c r="L347" s="169">
        <v>3</v>
      </c>
      <c r="M347" s="169">
        <v>2</v>
      </c>
      <c r="N347" s="169">
        <v>3</v>
      </c>
      <c r="O347" s="169" t="s">
        <v>708</v>
      </c>
      <c r="P347" s="169">
        <v>2</v>
      </c>
      <c r="Q347" s="169">
        <v>6110</v>
      </c>
      <c r="R347" s="169"/>
    </row>
    <row r="348" spans="1:18" hidden="1">
      <c r="A348" s="169" t="s">
        <v>707</v>
      </c>
      <c r="B348" s="169" t="s">
        <v>703</v>
      </c>
      <c r="C348" s="169" t="s">
        <v>657</v>
      </c>
      <c r="D348" s="169">
        <v>3</v>
      </c>
      <c r="E348" s="169">
        <v>34</v>
      </c>
      <c r="F348" s="169">
        <v>52</v>
      </c>
      <c r="G348" s="169">
        <v>23</v>
      </c>
      <c r="H348" s="169">
        <v>5</v>
      </c>
      <c r="I348" s="169">
        <v>2</v>
      </c>
      <c r="J348" s="169">
        <v>1</v>
      </c>
      <c r="K348" s="169" t="s">
        <v>708</v>
      </c>
      <c r="L348" s="169" t="s">
        <v>708</v>
      </c>
      <c r="M348" s="169" t="s">
        <v>708</v>
      </c>
      <c r="N348" s="169" t="s">
        <v>708</v>
      </c>
      <c r="O348" s="169" t="s">
        <v>708</v>
      </c>
      <c r="P348" s="169" t="s">
        <v>708</v>
      </c>
      <c r="Q348" s="169">
        <v>120</v>
      </c>
      <c r="R348" s="169"/>
    </row>
    <row r="349" spans="1:18" hidden="1">
      <c r="A349" s="169" t="s">
        <v>707</v>
      </c>
      <c r="B349" s="169" t="s">
        <v>703</v>
      </c>
      <c r="C349" s="169" t="s">
        <v>658</v>
      </c>
      <c r="D349" s="169">
        <v>3</v>
      </c>
      <c r="E349" s="169">
        <v>28</v>
      </c>
      <c r="F349" s="169">
        <v>21</v>
      </c>
      <c r="G349" s="169">
        <v>10</v>
      </c>
      <c r="H349" s="169">
        <v>6</v>
      </c>
      <c r="I349" s="169">
        <v>1</v>
      </c>
      <c r="J349" s="169">
        <v>1</v>
      </c>
      <c r="K349" s="169" t="s">
        <v>708</v>
      </c>
      <c r="L349" s="169" t="s">
        <v>708</v>
      </c>
      <c r="M349" s="169" t="s">
        <v>708</v>
      </c>
      <c r="N349" s="169" t="s">
        <v>708</v>
      </c>
      <c r="O349" s="169" t="s">
        <v>708</v>
      </c>
      <c r="P349" s="169" t="s">
        <v>708</v>
      </c>
      <c r="Q349" s="169">
        <v>70</v>
      </c>
      <c r="R349" s="169"/>
    </row>
    <row r="350" spans="1:18" hidden="1">
      <c r="A350" s="169" t="s">
        <v>707</v>
      </c>
      <c r="B350" s="169" t="s">
        <v>703</v>
      </c>
      <c r="C350" s="169" t="s">
        <v>704</v>
      </c>
      <c r="D350" s="169">
        <v>2</v>
      </c>
      <c r="E350" s="169">
        <v>11</v>
      </c>
      <c r="F350" s="169">
        <v>7</v>
      </c>
      <c r="G350" s="169">
        <v>1</v>
      </c>
      <c r="H350" s="169" t="s">
        <v>708</v>
      </c>
      <c r="I350" s="169" t="s">
        <v>708</v>
      </c>
      <c r="J350" s="169" t="s">
        <v>708</v>
      </c>
      <c r="K350" s="169" t="s">
        <v>708</v>
      </c>
      <c r="L350" s="169" t="s">
        <v>708</v>
      </c>
      <c r="M350" s="169" t="s">
        <v>708</v>
      </c>
      <c r="N350" s="169" t="s">
        <v>708</v>
      </c>
      <c r="O350" s="169" t="s">
        <v>708</v>
      </c>
      <c r="P350" s="169" t="s">
        <v>708</v>
      </c>
      <c r="Q350" s="169">
        <v>21</v>
      </c>
      <c r="R350" s="169"/>
    </row>
    <row r="351" spans="1:18" hidden="1">
      <c r="A351" s="169" t="s">
        <v>707</v>
      </c>
      <c r="B351" s="169" t="s">
        <v>703</v>
      </c>
      <c r="C351" s="169" t="s">
        <v>659</v>
      </c>
      <c r="D351" s="169">
        <v>2</v>
      </c>
      <c r="E351" s="169">
        <v>23</v>
      </c>
      <c r="F351" s="169">
        <v>15</v>
      </c>
      <c r="G351" s="169">
        <v>9</v>
      </c>
      <c r="H351" s="169">
        <v>2</v>
      </c>
      <c r="I351" s="169">
        <v>1</v>
      </c>
      <c r="J351" s="169">
        <v>1</v>
      </c>
      <c r="K351" s="169" t="s">
        <v>708</v>
      </c>
      <c r="L351" s="169" t="s">
        <v>708</v>
      </c>
      <c r="M351" s="169" t="s">
        <v>708</v>
      </c>
      <c r="N351" s="169" t="s">
        <v>708</v>
      </c>
      <c r="O351" s="169" t="s">
        <v>708</v>
      </c>
      <c r="P351" s="169" t="s">
        <v>708</v>
      </c>
      <c r="Q351" s="169">
        <v>53</v>
      </c>
      <c r="R351" s="169"/>
    </row>
    <row r="352" spans="1:18" hidden="1">
      <c r="A352" s="169" t="s">
        <v>707</v>
      </c>
      <c r="B352" s="169" t="s">
        <v>703</v>
      </c>
      <c r="C352" s="169" t="s">
        <v>660</v>
      </c>
      <c r="D352" s="169">
        <v>8</v>
      </c>
      <c r="E352" s="169">
        <v>127</v>
      </c>
      <c r="F352" s="169">
        <v>150</v>
      </c>
      <c r="G352" s="169">
        <v>47</v>
      </c>
      <c r="H352" s="169">
        <v>14</v>
      </c>
      <c r="I352" s="169">
        <v>6</v>
      </c>
      <c r="J352" s="169">
        <v>1</v>
      </c>
      <c r="K352" s="169" t="s">
        <v>708</v>
      </c>
      <c r="L352" s="169" t="s">
        <v>708</v>
      </c>
      <c r="M352" s="169" t="s">
        <v>708</v>
      </c>
      <c r="N352" s="169" t="s">
        <v>708</v>
      </c>
      <c r="O352" s="169" t="s">
        <v>708</v>
      </c>
      <c r="P352" s="169" t="s">
        <v>708</v>
      </c>
      <c r="Q352" s="169">
        <v>353</v>
      </c>
      <c r="R352" s="169"/>
    </row>
    <row r="353" spans="1:18" hidden="1">
      <c r="A353" s="169" t="s">
        <v>707</v>
      </c>
      <c r="B353" s="169" t="s">
        <v>703</v>
      </c>
      <c r="C353" s="169" t="s">
        <v>661</v>
      </c>
      <c r="D353" s="169">
        <v>95</v>
      </c>
      <c r="E353" s="169">
        <v>595</v>
      </c>
      <c r="F353" s="169">
        <v>712</v>
      </c>
      <c r="G353" s="169">
        <v>232</v>
      </c>
      <c r="H353" s="169">
        <v>88</v>
      </c>
      <c r="I353" s="169">
        <v>21</v>
      </c>
      <c r="J353" s="169">
        <v>7</v>
      </c>
      <c r="K353" s="169">
        <v>1</v>
      </c>
      <c r="L353" s="169">
        <v>2</v>
      </c>
      <c r="M353" s="169">
        <v>1</v>
      </c>
      <c r="N353" s="169">
        <v>1</v>
      </c>
      <c r="O353" s="169" t="s">
        <v>708</v>
      </c>
      <c r="P353" s="169" t="s">
        <v>708</v>
      </c>
      <c r="Q353" s="169">
        <v>1755</v>
      </c>
      <c r="R353" s="169"/>
    </row>
    <row r="354" spans="1:18" hidden="1">
      <c r="A354" s="169" t="s">
        <v>707</v>
      </c>
      <c r="B354" s="169" t="s">
        <v>703</v>
      </c>
      <c r="C354" s="169" t="s">
        <v>662</v>
      </c>
      <c r="D354" s="169">
        <v>1</v>
      </c>
      <c r="E354" s="169">
        <v>14</v>
      </c>
      <c r="F354" s="169">
        <v>26</v>
      </c>
      <c r="G354" s="169">
        <v>6</v>
      </c>
      <c r="H354" s="169">
        <v>4</v>
      </c>
      <c r="I354" s="169" t="s">
        <v>708</v>
      </c>
      <c r="J354" s="169" t="s">
        <v>708</v>
      </c>
      <c r="K354" s="169" t="s">
        <v>708</v>
      </c>
      <c r="L354" s="169" t="s">
        <v>708</v>
      </c>
      <c r="M354" s="169" t="s">
        <v>708</v>
      </c>
      <c r="N354" s="169" t="s">
        <v>708</v>
      </c>
      <c r="O354" s="169" t="s">
        <v>708</v>
      </c>
      <c r="P354" s="169" t="s">
        <v>708</v>
      </c>
      <c r="Q354" s="169">
        <v>51</v>
      </c>
      <c r="R354" s="169"/>
    </row>
    <row r="355" spans="1:18" hidden="1">
      <c r="A355" s="169" t="s">
        <v>707</v>
      </c>
      <c r="B355" s="169" t="s">
        <v>703</v>
      </c>
      <c r="C355" s="169" t="s">
        <v>663</v>
      </c>
      <c r="D355" s="169">
        <v>22</v>
      </c>
      <c r="E355" s="169">
        <v>250</v>
      </c>
      <c r="F355" s="169">
        <v>311</v>
      </c>
      <c r="G355" s="169">
        <v>104</v>
      </c>
      <c r="H355" s="169">
        <v>33</v>
      </c>
      <c r="I355" s="169">
        <v>11</v>
      </c>
      <c r="J355" s="169">
        <v>5</v>
      </c>
      <c r="K355" s="169">
        <v>2</v>
      </c>
      <c r="L355" s="169">
        <v>3</v>
      </c>
      <c r="M355" s="169" t="s">
        <v>708</v>
      </c>
      <c r="N355" s="169" t="s">
        <v>708</v>
      </c>
      <c r="O355" s="169">
        <v>1</v>
      </c>
      <c r="P355" s="169">
        <v>1</v>
      </c>
      <c r="Q355" s="169">
        <v>743</v>
      </c>
      <c r="R355" s="169"/>
    </row>
    <row r="356" spans="1:18" hidden="1">
      <c r="A356" s="169" t="s">
        <v>707</v>
      </c>
      <c r="B356" s="169" t="s">
        <v>703</v>
      </c>
      <c r="C356" s="169" t="s">
        <v>664</v>
      </c>
      <c r="D356" s="169">
        <v>3</v>
      </c>
      <c r="E356" s="169">
        <v>16</v>
      </c>
      <c r="F356" s="169">
        <v>28</v>
      </c>
      <c r="G356" s="169">
        <v>8</v>
      </c>
      <c r="H356" s="169">
        <v>2</v>
      </c>
      <c r="I356" s="169" t="s">
        <v>708</v>
      </c>
      <c r="J356" s="169">
        <v>1</v>
      </c>
      <c r="K356" s="169" t="s">
        <v>708</v>
      </c>
      <c r="L356" s="169" t="s">
        <v>708</v>
      </c>
      <c r="M356" s="169" t="s">
        <v>708</v>
      </c>
      <c r="N356" s="169" t="s">
        <v>708</v>
      </c>
      <c r="O356" s="169" t="s">
        <v>708</v>
      </c>
      <c r="P356" s="169" t="s">
        <v>708</v>
      </c>
      <c r="Q356" s="169">
        <v>58</v>
      </c>
      <c r="R356" s="169"/>
    </row>
    <row r="357" spans="1:18" hidden="1">
      <c r="A357" s="169" t="s">
        <v>707</v>
      </c>
      <c r="B357" s="169" t="s">
        <v>703</v>
      </c>
      <c r="C357" s="169" t="s">
        <v>665</v>
      </c>
      <c r="D357" s="169">
        <v>5</v>
      </c>
      <c r="E357" s="169">
        <v>97</v>
      </c>
      <c r="F357" s="169">
        <v>110</v>
      </c>
      <c r="G357" s="169">
        <v>45</v>
      </c>
      <c r="H357" s="169">
        <v>18</v>
      </c>
      <c r="I357" s="169">
        <v>5</v>
      </c>
      <c r="J357" s="169">
        <v>1</v>
      </c>
      <c r="K357" s="169" t="s">
        <v>708</v>
      </c>
      <c r="L357" s="169" t="s">
        <v>708</v>
      </c>
      <c r="M357" s="169">
        <v>1</v>
      </c>
      <c r="N357" s="169" t="s">
        <v>708</v>
      </c>
      <c r="O357" s="169" t="s">
        <v>708</v>
      </c>
      <c r="P357" s="169" t="s">
        <v>708</v>
      </c>
      <c r="Q357" s="169">
        <v>282</v>
      </c>
      <c r="R357" s="169"/>
    </row>
    <row r="358" spans="1:18" hidden="1">
      <c r="A358" s="169" t="s">
        <v>707</v>
      </c>
      <c r="B358" s="169" t="s">
        <v>703</v>
      </c>
      <c r="C358" s="169" t="s">
        <v>666</v>
      </c>
      <c r="D358" s="169">
        <v>3</v>
      </c>
      <c r="E358" s="169">
        <v>44</v>
      </c>
      <c r="F358" s="169">
        <v>49</v>
      </c>
      <c r="G358" s="169">
        <v>17</v>
      </c>
      <c r="H358" s="169">
        <v>11</v>
      </c>
      <c r="I358" s="169" t="s">
        <v>708</v>
      </c>
      <c r="J358" s="169" t="s">
        <v>708</v>
      </c>
      <c r="K358" s="169" t="s">
        <v>708</v>
      </c>
      <c r="L358" s="169" t="s">
        <v>708</v>
      </c>
      <c r="M358" s="169" t="s">
        <v>708</v>
      </c>
      <c r="N358" s="169" t="s">
        <v>708</v>
      </c>
      <c r="O358" s="169" t="s">
        <v>708</v>
      </c>
      <c r="P358" s="169" t="s">
        <v>708</v>
      </c>
      <c r="Q358" s="169">
        <v>124</v>
      </c>
      <c r="R358" s="169"/>
    </row>
    <row r="359" spans="1:18" hidden="1">
      <c r="A359" s="169" t="s">
        <v>707</v>
      </c>
      <c r="B359" s="169" t="s">
        <v>703</v>
      </c>
      <c r="C359" s="169" t="s">
        <v>667</v>
      </c>
      <c r="D359" s="169" t="s">
        <v>708</v>
      </c>
      <c r="E359" s="169">
        <v>26</v>
      </c>
      <c r="F359" s="169">
        <v>23</v>
      </c>
      <c r="G359" s="169">
        <v>14</v>
      </c>
      <c r="H359" s="169">
        <v>1</v>
      </c>
      <c r="I359" s="169">
        <v>1</v>
      </c>
      <c r="J359" s="169">
        <v>1</v>
      </c>
      <c r="K359" s="169" t="s">
        <v>708</v>
      </c>
      <c r="L359" s="169" t="s">
        <v>708</v>
      </c>
      <c r="M359" s="169" t="s">
        <v>708</v>
      </c>
      <c r="N359" s="169" t="s">
        <v>708</v>
      </c>
      <c r="O359" s="169" t="s">
        <v>708</v>
      </c>
      <c r="P359" s="169" t="s">
        <v>708</v>
      </c>
      <c r="Q359" s="169">
        <v>66</v>
      </c>
      <c r="R359" s="169"/>
    </row>
    <row r="360" spans="1:18" hidden="1">
      <c r="A360" s="169" t="s">
        <v>707</v>
      </c>
      <c r="B360" s="169" t="s">
        <v>703</v>
      </c>
      <c r="C360" s="169" t="s">
        <v>668</v>
      </c>
      <c r="D360" s="169">
        <v>2</v>
      </c>
      <c r="E360" s="169">
        <v>14</v>
      </c>
      <c r="F360" s="169">
        <v>21</v>
      </c>
      <c r="G360" s="169">
        <v>2</v>
      </c>
      <c r="H360" s="169">
        <v>2</v>
      </c>
      <c r="I360" s="169">
        <v>1</v>
      </c>
      <c r="J360" s="169" t="s">
        <v>708</v>
      </c>
      <c r="K360" s="169" t="s">
        <v>708</v>
      </c>
      <c r="L360" s="169" t="s">
        <v>708</v>
      </c>
      <c r="M360" s="169" t="s">
        <v>708</v>
      </c>
      <c r="N360" s="169" t="s">
        <v>708</v>
      </c>
      <c r="O360" s="169" t="s">
        <v>708</v>
      </c>
      <c r="P360" s="169" t="s">
        <v>708</v>
      </c>
      <c r="Q360" s="169">
        <v>42</v>
      </c>
      <c r="R360" s="169"/>
    </row>
    <row r="361" spans="1:18" hidden="1">
      <c r="A361" s="169" t="s">
        <v>707</v>
      </c>
      <c r="B361" s="169" t="s">
        <v>703</v>
      </c>
      <c r="C361" s="169" t="s">
        <v>669</v>
      </c>
      <c r="D361" s="169">
        <v>1</v>
      </c>
      <c r="E361" s="169">
        <v>10</v>
      </c>
      <c r="F361" s="169">
        <v>14</v>
      </c>
      <c r="G361" s="169">
        <v>2</v>
      </c>
      <c r="H361" s="169">
        <v>1</v>
      </c>
      <c r="I361" s="169" t="s">
        <v>708</v>
      </c>
      <c r="J361" s="169" t="s">
        <v>708</v>
      </c>
      <c r="K361" s="169" t="s">
        <v>708</v>
      </c>
      <c r="L361" s="169" t="s">
        <v>708</v>
      </c>
      <c r="M361" s="169" t="s">
        <v>708</v>
      </c>
      <c r="N361" s="169" t="s">
        <v>708</v>
      </c>
      <c r="O361" s="169" t="s">
        <v>708</v>
      </c>
      <c r="P361" s="169" t="s">
        <v>708</v>
      </c>
      <c r="Q361" s="169">
        <v>28</v>
      </c>
      <c r="R361" s="169"/>
    </row>
    <row r="362" spans="1:18" hidden="1">
      <c r="A362" s="169" t="s">
        <v>707</v>
      </c>
      <c r="B362" s="169" t="s">
        <v>703</v>
      </c>
      <c r="C362" s="169" t="s">
        <v>670</v>
      </c>
      <c r="D362" s="169">
        <v>9</v>
      </c>
      <c r="E362" s="169">
        <v>45</v>
      </c>
      <c r="F362" s="169">
        <v>60</v>
      </c>
      <c r="G362" s="169">
        <v>14</v>
      </c>
      <c r="H362" s="169">
        <v>3</v>
      </c>
      <c r="I362" s="169">
        <v>2</v>
      </c>
      <c r="J362" s="169" t="s">
        <v>708</v>
      </c>
      <c r="K362" s="169" t="s">
        <v>708</v>
      </c>
      <c r="L362" s="169" t="s">
        <v>708</v>
      </c>
      <c r="M362" s="169" t="s">
        <v>708</v>
      </c>
      <c r="N362" s="169" t="s">
        <v>708</v>
      </c>
      <c r="O362" s="169" t="s">
        <v>708</v>
      </c>
      <c r="P362" s="169" t="s">
        <v>708</v>
      </c>
      <c r="Q362" s="169">
        <v>133</v>
      </c>
      <c r="R362" s="169"/>
    </row>
    <row r="363" spans="1:18" hidden="1">
      <c r="A363" s="169" t="s">
        <v>707</v>
      </c>
      <c r="B363" s="169" t="s">
        <v>703</v>
      </c>
      <c r="C363" s="169" t="s">
        <v>671</v>
      </c>
      <c r="D363" s="169">
        <v>13</v>
      </c>
      <c r="E363" s="169">
        <v>92</v>
      </c>
      <c r="F363" s="169">
        <v>123</v>
      </c>
      <c r="G363" s="169">
        <v>38</v>
      </c>
      <c r="H363" s="169">
        <v>11</v>
      </c>
      <c r="I363" s="169">
        <v>6</v>
      </c>
      <c r="J363" s="169" t="s">
        <v>708</v>
      </c>
      <c r="K363" s="169">
        <v>1</v>
      </c>
      <c r="L363" s="169" t="s">
        <v>708</v>
      </c>
      <c r="M363" s="169" t="s">
        <v>708</v>
      </c>
      <c r="N363" s="169">
        <v>1</v>
      </c>
      <c r="O363" s="169" t="s">
        <v>708</v>
      </c>
      <c r="P363" s="169" t="s">
        <v>708</v>
      </c>
      <c r="Q363" s="169">
        <v>285</v>
      </c>
      <c r="R363" s="169"/>
    </row>
    <row r="364" spans="1:18" hidden="1">
      <c r="A364" s="169" t="s">
        <v>707</v>
      </c>
      <c r="B364" s="169" t="s">
        <v>703</v>
      </c>
      <c r="C364" s="169" t="s">
        <v>672</v>
      </c>
      <c r="D364" s="169">
        <v>1</v>
      </c>
      <c r="E364" s="169">
        <v>6</v>
      </c>
      <c r="F364" s="169">
        <v>4</v>
      </c>
      <c r="G364" s="169">
        <v>1</v>
      </c>
      <c r="H364" s="169">
        <v>1</v>
      </c>
      <c r="I364" s="169" t="s">
        <v>708</v>
      </c>
      <c r="J364" s="169" t="s">
        <v>708</v>
      </c>
      <c r="K364" s="169" t="s">
        <v>708</v>
      </c>
      <c r="L364" s="169" t="s">
        <v>708</v>
      </c>
      <c r="M364" s="169" t="s">
        <v>708</v>
      </c>
      <c r="N364" s="169" t="s">
        <v>708</v>
      </c>
      <c r="O364" s="169" t="s">
        <v>708</v>
      </c>
      <c r="P364" s="169" t="s">
        <v>708</v>
      </c>
      <c r="Q364" s="169">
        <v>13</v>
      </c>
      <c r="R364" s="169"/>
    </row>
    <row r="365" spans="1:18" hidden="1">
      <c r="A365" s="169" t="s">
        <v>707</v>
      </c>
      <c r="B365" s="169" t="s">
        <v>703</v>
      </c>
      <c r="C365" s="169" t="s">
        <v>673</v>
      </c>
      <c r="D365" s="169">
        <v>8</v>
      </c>
      <c r="E365" s="169">
        <v>64</v>
      </c>
      <c r="F365" s="169">
        <v>61</v>
      </c>
      <c r="G365" s="169">
        <v>23</v>
      </c>
      <c r="H365" s="169">
        <v>5</v>
      </c>
      <c r="I365" s="169">
        <v>4</v>
      </c>
      <c r="J365" s="169" t="s">
        <v>708</v>
      </c>
      <c r="K365" s="169" t="s">
        <v>708</v>
      </c>
      <c r="L365" s="169" t="s">
        <v>708</v>
      </c>
      <c r="M365" s="169" t="s">
        <v>708</v>
      </c>
      <c r="N365" s="169" t="s">
        <v>708</v>
      </c>
      <c r="O365" s="169" t="s">
        <v>708</v>
      </c>
      <c r="P365" s="169" t="s">
        <v>708</v>
      </c>
      <c r="Q365" s="169">
        <v>165</v>
      </c>
      <c r="R365" s="169"/>
    </row>
    <row r="366" spans="1:18" hidden="1">
      <c r="A366" s="169" t="s">
        <v>707</v>
      </c>
      <c r="B366" s="169" t="s">
        <v>703</v>
      </c>
      <c r="C366" s="169" t="s">
        <v>674</v>
      </c>
      <c r="D366" s="169">
        <v>8</v>
      </c>
      <c r="E366" s="169">
        <v>58</v>
      </c>
      <c r="F366" s="169">
        <v>76</v>
      </c>
      <c r="G366" s="169">
        <v>35</v>
      </c>
      <c r="H366" s="169">
        <v>8</v>
      </c>
      <c r="I366" s="169">
        <v>3</v>
      </c>
      <c r="J366" s="169" t="s">
        <v>708</v>
      </c>
      <c r="K366" s="169">
        <v>2</v>
      </c>
      <c r="L366" s="169" t="s">
        <v>708</v>
      </c>
      <c r="M366" s="169" t="s">
        <v>708</v>
      </c>
      <c r="N366" s="169" t="s">
        <v>708</v>
      </c>
      <c r="O366" s="169" t="s">
        <v>708</v>
      </c>
      <c r="P366" s="169" t="s">
        <v>708</v>
      </c>
      <c r="Q366" s="169">
        <v>190</v>
      </c>
      <c r="R366" s="169"/>
    </row>
    <row r="367" spans="1:18" hidden="1">
      <c r="A367" s="169" t="s">
        <v>707</v>
      </c>
      <c r="B367" s="169" t="s">
        <v>703</v>
      </c>
      <c r="C367" s="169" t="s">
        <v>675</v>
      </c>
      <c r="D367" s="169" t="s">
        <v>708</v>
      </c>
      <c r="E367" s="169">
        <v>37</v>
      </c>
      <c r="F367" s="169">
        <v>42</v>
      </c>
      <c r="G367" s="169">
        <v>22</v>
      </c>
      <c r="H367" s="169">
        <v>1</v>
      </c>
      <c r="I367" s="169" t="s">
        <v>708</v>
      </c>
      <c r="J367" s="169">
        <v>1</v>
      </c>
      <c r="K367" s="169" t="s">
        <v>708</v>
      </c>
      <c r="L367" s="169">
        <v>1</v>
      </c>
      <c r="M367" s="169" t="s">
        <v>708</v>
      </c>
      <c r="N367" s="169" t="s">
        <v>708</v>
      </c>
      <c r="O367" s="169" t="s">
        <v>708</v>
      </c>
      <c r="P367" s="169" t="s">
        <v>708</v>
      </c>
      <c r="Q367" s="169">
        <v>104</v>
      </c>
      <c r="R367" s="169"/>
    </row>
    <row r="368" spans="1:18" hidden="1">
      <c r="A368" s="169" t="s">
        <v>707</v>
      </c>
      <c r="B368" s="169" t="s">
        <v>703</v>
      </c>
      <c r="C368" s="169" t="s">
        <v>676</v>
      </c>
      <c r="D368" s="169" t="s">
        <v>708</v>
      </c>
      <c r="E368" s="169">
        <v>2</v>
      </c>
      <c r="F368" s="169">
        <v>2</v>
      </c>
      <c r="G368" s="169">
        <v>1</v>
      </c>
      <c r="H368" s="169" t="s">
        <v>708</v>
      </c>
      <c r="I368" s="169" t="s">
        <v>708</v>
      </c>
      <c r="J368" s="169" t="s">
        <v>708</v>
      </c>
      <c r="K368" s="169" t="s">
        <v>708</v>
      </c>
      <c r="L368" s="169" t="s">
        <v>708</v>
      </c>
      <c r="M368" s="169" t="s">
        <v>708</v>
      </c>
      <c r="N368" s="169" t="s">
        <v>708</v>
      </c>
      <c r="O368" s="169" t="s">
        <v>708</v>
      </c>
      <c r="P368" s="169" t="s">
        <v>708</v>
      </c>
      <c r="Q368" s="169">
        <v>5</v>
      </c>
      <c r="R368" s="169"/>
    </row>
    <row r="369" spans="1:18" hidden="1">
      <c r="A369" s="169" t="s">
        <v>707</v>
      </c>
      <c r="B369" s="169" t="s">
        <v>703</v>
      </c>
      <c r="C369" s="169" t="s">
        <v>677</v>
      </c>
      <c r="D369" s="169" t="s">
        <v>708</v>
      </c>
      <c r="E369" s="169">
        <v>9</v>
      </c>
      <c r="F369" s="169">
        <v>5</v>
      </c>
      <c r="G369" s="169">
        <v>1</v>
      </c>
      <c r="H369" s="169">
        <v>3</v>
      </c>
      <c r="I369" s="169">
        <v>1</v>
      </c>
      <c r="J369" s="169" t="s">
        <v>708</v>
      </c>
      <c r="K369" s="169" t="s">
        <v>708</v>
      </c>
      <c r="L369" s="169" t="s">
        <v>708</v>
      </c>
      <c r="M369" s="169" t="s">
        <v>708</v>
      </c>
      <c r="N369" s="169" t="s">
        <v>708</v>
      </c>
      <c r="O369" s="169" t="s">
        <v>708</v>
      </c>
      <c r="P369" s="169" t="s">
        <v>708</v>
      </c>
      <c r="Q369" s="169">
        <v>19</v>
      </c>
      <c r="R369" s="169"/>
    </row>
    <row r="370" spans="1:18" hidden="1">
      <c r="A370" s="169" t="s">
        <v>707</v>
      </c>
      <c r="B370" s="169" t="s">
        <v>703</v>
      </c>
      <c r="C370" s="169" t="s">
        <v>678</v>
      </c>
      <c r="D370" s="169">
        <v>40</v>
      </c>
      <c r="E370" s="169">
        <v>398</v>
      </c>
      <c r="F370" s="169">
        <v>539</v>
      </c>
      <c r="G370" s="169">
        <v>171</v>
      </c>
      <c r="H370" s="169">
        <v>56</v>
      </c>
      <c r="I370" s="169">
        <v>16</v>
      </c>
      <c r="J370" s="169">
        <v>2</v>
      </c>
      <c r="K370" s="169">
        <v>2</v>
      </c>
      <c r="L370" s="169">
        <v>1</v>
      </c>
      <c r="M370" s="169" t="s">
        <v>708</v>
      </c>
      <c r="N370" s="169" t="s">
        <v>708</v>
      </c>
      <c r="O370" s="169" t="s">
        <v>708</v>
      </c>
      <c r="P370" s="169" t="s">
        <v>708</v>
      </c>
      <c r="Q370" s="169">
        <v>1225</v>
      </c>
      <c r="R370" s="169"/>
    </row>
    <row r="371" spans="1:18" hidden="1">
      <c r="A371" s="169" t="s">
        <v>707</v>
      </c>
      <c r="B371" s="169" t="s">
        <v>703</v>
      </c>
      <c r="C371" s="169" t="s">
        <v>679</v>
      </c>
      <c r="D371" s="169" t="s">
        <v>708</v>
      </c>
      <c r="E371" s="169">
        <v>17</v>
      </c>
      <c r="F371" s="169">
        <v>10</v>
      </c>
      <c r="G371" s="169">
        <v>4</v>
      </c>
      <c r="H371" s="169">
        <v>5</v>
      </c>
      <c r="I371" s="169">
        <v>1</v>
      </c>
      <c r="J371" s="169">
        <v>2</v>
      </c>
      <c r="K371" s="169" t="s">
        <v>708</v>
      </c>
      <c r="L371" s="169" t="s">
        <v>708</v>
      </c>
      <c r="M371" s="169" t="s">
        <v>708</v>
      </c>
      <c r="N371" s="169" t="s">
        <v>708</v>
      </c>
      <c r="O371" s="169" t="s">
        <v>708</v>
      </c>
      <c r="P371" s="169" t="s">
        <v>708</v>
      </c>
      <c r="Q371" s="169">
        <v>39</v>
      </c>
      <c r="R371" s="169"/>
    </row>
    <row r="372" spans="1:18" hidden="1">
      <c r="A372" s="169" t="s">
        <v>707</v>
      </c>
      <c r="B372" s="169" t="s">
        <v>703</v>
      </c>
      <c r="C372" s="169" t="s">
        <v>680</v>
      </c>
      <c r="D372" s="169">
        <v>4</v>
      </c>
      <c r="E372" s="169">
        <v>24</v>
      </c>
      <c r="F372" s="169">
        <v>38</v>
      </c>
      <c r="G372" s="169">
        <v>17</v>
      </c>
      <c r="H372" s="169">
        <v>5</v>
      </c>
      <c r="I372" s="169">
        <v>2</v>
      </c>
      <c r="J372" s="169">
        <v>1</v>
      </c>
      <c r="K372" s="169" t="s">
        <v>708</v>
      </c>
      <c r="L372" s="169" t="s">
        <v>708</v>
      </c>
      <c r="M372" s="169" t="s">
        <v>708</v>
      </c>
      <c r="N372" s="169" t="s">
        <v>708</v>
      </c>
      <c r="O372" s="169" t="s">
        <v>708</v>
      </c>
      <c r="P372" s="169" t="s">
        <v>708</v>
      </c>
      <c r="Q372" s="169">
        <v>91</v>
      </c>
      <c r="R372" s="169"/>
    </row>
    <row r="373" spans="1:18" hidden="1">
      <c r="A373" s="169" t="s">
        <v>707</v>
      </c>
      <c r="B373" s="169" t="s">
        <v>703</v>
      </c>
      <c r="C373" s="169" t="s">
        <v>681</v>
      </c>
      <c r="D373" s="169">
        <v>2</v>
      </c>
      <c r="E373" s="169">
        <v>16</v>
      </c>
      <c r="F373" s="169">
        <v>9</v>
      </c>
      <c r="G373" s="169">
        <v>3</v>
      </c>
      <c r="H373" s="169">
        <v>1</v>
      </c>
      <c r="I373" s="169" t="s">
        <v>708</v>
      </c>
      <c r="J373" s="169" t="s">
        <v>708</v>
      </c>
      <c r="K373" s="169" t="s">
        <v>708</v>
      </c>
      <c r="L373" s="169" t="s">
        <v>708</v>
      </c>
      <c r="M373" s="169" t="s">
        <v>708</v>
      </c>
      <c r="N373" s="169" t="s">
        <v>708</v>
      </c>
      <c r="O373" s="169" t="s">
        <v>708</v>
      </c>
      <c r="P373" s="169" t="s">
        <v>708</v>
      </c>
      <c r="Q373" s="169">
        <v>31</v>
      </c>
      <c r="R373" s="169"/>
    </row>
    <row r="374" spans="1:18" hidden="1">
      <c r="A374" s="169" t="s">
        <v>707</v>
      </c>
      <c r="B374" s="169" t="s">
        <v>703</v>
      </c>
      <c r="C374" s="169" t="s">
        <v>682</v>
      </c>
      <c r="D374" s="169">
        <v>3</v>
      </c>
      <c r="E374" s="169">
        <v>80</v>
      </c>
      <c r="F374" s="169">
        <v>98</v>
      </c>
      <c r="G374" s="169">
        <v>35</v>
      </c>
      <c r="H374" s="169">
        <v>7</v>
      </c>
      <c r="I374" s="169">
        <v>5</v>
      </c>
      <c r="J374" s="169" t="s">
        <v>708</v>
      </c>
      <c r="K374" s="169" t="s">
        <v>708</v>
      </c>
      <c r="L374" s="169" t="s">
        <v>708</v>
      </c>
      <c r="M374" s="169" t="s">
        <v>708</v>
      </c>
      <c r="N374" s="169" t="s">
        <v>708</v>
      </c>
      <c r="O374" s="169" t="s">
        <v>708</v>
      </c>
      <c r="P374" s="169" t="s">
        <v>708</v>
      </c>
      <c r="Q374" s="169">
        <v>228</v>
      </c>
      <c r="R374" s="169"/>
    </row>
    <row r="375" spans="1:18" hidden="1">
      <c r="A375" s="169" t="s">
        <v>707</v>
      </c>
      <c r="B375" s="169" t="s">
        <v>703</v>
      </c>
      <c r="C375" s="169" t="s">
        <v>683</v>
      </c>
      <c r="D375" s="169" t="s">
        <v>708</v>
      </c>
      <c r="E375" s="169">
        <v>16</v>
      </c>
      <c r="F375" s="169">
        <v>17</v>
      </c>
      <c r="G375" s="169">
        <v>6</v>
      </c>
      <c r="H375" s="169">
        <v>2</v>
      </c>
      <c r="I375" s="169">
        <v>1</v>
      </c>
      <c r="J375" s="169" t="s">
        <v>708</v>
      </c>
      <c r="K375" s="169" t="s">
        <v>708</v>
      </c>
      <c r="L375" s="169">
        <v>1</v>
      </c>
      <c r="M375" s="169" t="s">
        <v>708</v>
      </c>
      <c r="N375" s="169" t="s">
        <v>708</v>
      </c>
      <c r="O375" s="169" t="s">
        <v>708</v>
      </c>
      <c r="P375" s="169" t="s">
        <v>708</v>
      </c>
      <c r="Q375" s="169">
        <v>43</v>
      </c>
      <c r="R375" s="169"/>
    </row>
    <row r="376" spans="1:18" hidden="1">
      <c r="A376" s="169" t="s">
        <v>707</v>
      </c>
      <c r="B376" s="169" t="s">
        <v>703</v>
      </c>
      <c r="C376" s="169" t="s">
        <v>684</v>
      </c>
      <c r="D376" s="169">
        <v>1</v>
      </c>
      <c r="E376" s="169">
        <v>19</v>
      </c>
      <c r="F376" s="169">
        <v>25</v>
      </c>
      <c r="G376" s="169">
        <v>8</v>
      </c>
      <c r="H376" s="169">
        <v>4</v>
      </c>
      <c r="I376" s="169" t="s">
        <v>708</v>
      </c>
      <c r="J376" s="169">
        <v>1</v>
      </c>
      <c r="K376" s="169" t="s">
        <v>708</v>
      </c>
      <c r="L376" s="169" t="s">
        <v>708</v>
      </c>
      <c r="M376" s="169" t="s">
        <v>708</v>
      </c>
      <c r="N376" s="169" t="s">
        <v>708</v>
      </c>
      <c r="O376" s="169" t="s">
        <v>708</v>
      </c>
      <c r="P376" s="169" t="s">
        <v>708</v>
      </c>
      <c r="Q376" s="169">
        <v>58</v>
      </c>
      <c r="R376" s="169"/>
    </row>
    <row r="377" spans="1:18" hidden="1">
      <c r="A377" s="169" t="s">
        <v>707</v>
      </c>
      <c r="B377" s="169" t="s">
        <v>703</v>
      </c>
      <c r="C377" s="169" t="s">
        <v>685</v>
      </c>
      <c r="D377" s="169">
        <v>159</v>
      </c>
      <c r="E377" s="169">
        <v>1212</v>
      </c>
      <c r="F377" s="169">
        <v>1359</v>
      </c>
      <c r="G377" s="169">
        <v>412</v>
      </c>
      <c r="H377" s="169">
        <v>127</v>
      </c>
      <c r="I377" s="169">
        <v>39</v>
      </c>
      <c r="J377" s="169">
        <v>8</v>
      </c>
      <c r="K377" s="169">
        <v>6</v>
      </c>
      <c r="L377" s="169" t="s">
        <v>708</v>
      </c>
      <c r="M377" s="169">
        <v>1</v>
      </c>
      <c r="N377" s="169" t="s">
        <v>708</v>
      </c>
      <c r="O377" s="169" t="s">
        <v>708</v>
      </c>
      <c r="P377" s="169">
        <v>1</v>
      </c>
      <c r="Q377" s="169">
        <v>3324</v>
      </c>
      <c r="R377" s="169"/>
    </row>
    <row r="378" spans="1:18" hidden="1">
      <c r="A378" s="169" t="s">
        <v>707</v>
      </c>
      <c r="B378" s="169" t="s">
        <v>703</v>
      </c>
      <c r="C378" s="169" t="s">
        <v>686</v>
      </c>
      <c r="D378" s="169">
        <v>6</v>
      </c>
      <c r="E378" s="169">
        <v>123</v>
      </c>
      <c r="F378" s="169">
        <v>120</v>
      </c>
      <c r="G378" s="169">
        <v>45</v>
      </c>
      <c r="H378" s="169">
        <v>14</v>
      </c>
      <c r="I378" s="169">
        <v>3</v>
      </c>
      <c r="J378" s="169">
        <v>2</v>
      </c>
      <c r="K378" s="169">
        <v>1</v>
      </c>
      <c r="L378" s="169" t="s">
        <v>708</v>
      </c>
      <c r="M378" s="169" t="s">
        <v>708</v>
      </c>
      <c r="N378" s="169" t="s">
        <v>708</v>
      </c>
      <c r="O378" s="169" t="s">
        <v>708</v>
      </c>
      <c r="P378" s="169" t="s">
        <v>708</v>
      </c>
      <c r="Q378" s="169">
        <v>314</v>
      </c>
      <c r="R378" s="169"/>
    </row>
    <row r="379" spans="1:18" hidden="1">
      <c r="A379" s="169" t="s">
        <v>707</v>
      </c>
      <c r="B379" s="169" t="s">
        <v>703</v>
      </c>
      <c r="C379" s="169" t="s">
        <v>687</v>
      </c>
      <c r="D379" s="169">
        <v>9</v>
      </c>
      <c r="E379" s="169">
        <v>54</v>
      </c>
      <c r="F379" s="169">
        <v>79</v>
      </c>
      <c r="G379" s="169">
        <v>28</v>
      </c>
      <c r="H379" s="169">
        <v>12</v>
      </c>
      <c r="I379" s="169">
        <v>1</v>
      </c>
      <c r="J379" s="169">
        <v>2</v>
      </c>
      <c r="K379" s="169" t="s">
        <v>708</v>
      </c>
      <c r="L379" s="169" t="s">
        <v>708</v>
      </c>
      <c r="M379" s="169" t="s">
        <v>708</v>
      </c>
      <c r="N379" s="169" t="s">
        <v>708</v>
      </c>
      <c r="O379" s="169" t="s">
        <v>708</v>
      </c>
      <c r="P379" s="169" t="s">
        <v>708</v>
      </c>
      <c r="Q379" s="169">
        <v>185</v>
      </c>
      <c r="R379" s="169"/>
    </row>
    <row r="380" spans="1:18" hidden="1">
      <c r="A380" s="169" t="s">
        <v>707</v>
      </c>
      <c r="B380" s="169" t="s">
        <v>703</v>
      </c>
      <c r="C380" s="169" t="s">
        <v>688</v>
      </c>
      <c r="D380" s="169">
        <v>3</v>
      </c>
      <c r="E380" s="169">
        <v>18</v>
      </c>
      <c r="F380" s="169">
        <v>33</v>
      </c>
      <c r="G380" s="169">
        <v>19</v>
      </c>
      <c r="H380" s="169">
        <v>4</v>
      </c>
      <c r="I380" s="169">
        <v>2</v>
      </c>
      <c r="J380" s="169" t="s">
        <v>708</v>
      </c>
      <c r="K380" s="169" t="s">
        <v>708</v>
      </c>
      <c r="L380" s="169" t="s">
        <v>708</v>
      </c>
      <c r="M380" s="169" t="s">
        <v>708</v>
      </c>
      <c r="N380" s="169" t="s">
        <v>708</v>
      </c>
      <c r="O380" s="169" t="s">
        <v>708</v>
      </c>
      <c r="P380" s="169" t="s">
        <v>708</v>
      </c>
      <c r="Q380" s="169">
        <v>79</v>
      </c>
      <c r="R380" s="169"/>
    </row>
    <row r="381" spans="1:18" hidden="1">
      <c r="A381" s="169" t="s">
        <v>707</v>
      </c>
      <c r="B381" s="169" t="s">
        <v>703</v>
      </c>
      <c r="C381" s="169" t="s">
        <v>689</v>
      </c>
      <c r="D381" s="169">
        <v>9</v>
      </c>
      <c r="E381" s="169">
        <v>97</v>
      </c>
      <c r="F381" s="169">
        <v>108</v>
      </c>
      <c r="G381" s="169">
        <v>47</v>
      </c>
      <c r="H381" s="169">
        <v>16</v>
      </c>
      <c r="I381" s="169">
        <v>3</v>
      </c>
      <c r="J381" s="169">
        <v>1</v>
      </c>
      <c r="K381" s="169" t="s">
        <v>708</v>
      </c>
      <c r="L381" s="169" t="s">
        <v>708</v>
      </c>
      <c r="M381" s="169" t="s">
        <v>708</v>
      </c>
      <c r="N381" s="169" t="s">
        <v>708</v>
      </c>
      <c r="O381" s="169" t="s">
        <v>708</v>
      </c>
      <c r="P381" s="169" t="s">
        <v>708</v>
      </c>
      <c r="Q381" s="169">
        <v>281</v>
      </c>
      <c r="R381" s="169"/>
    </row>
    <row r="382" spans="1:18" hidden="1">
      <c r="A382" s="169" t="s">
        <v>707</v>
      </c>
      <c r="B382" s="169" t="s">
        <v>703</v>
      </c>
      <c r="C382" s="169" t="s">
        <v>690</v>
      </c>
      <c r="D382" s="169" t="s">
        <v>708</v>
      </c>
      <c r="E382" s="169">
        <v>38</v>
      </c>
      <c r="F382" s="169">
        <v>42</v>
      </c>
      <c r="G382" s="169">
        <v>7</v>
      </c>
      <c r="H382" s="169">
        <v>5</v>
      </c>
      <c r="I382" s="169" t="s">
        <v>708</v>
      </c>
      <c r="J382" s="169" t="s">
        <v>708</v>
      </c>
      <c r="K382" s="169" t="s">
        <v>708</v>
      </c>
      <c r="L382" s="169" t="s">
        <v>708</v>
      </c>
      <c r="M382" s="169" t="s">
        <v>708</v>
      </c>
      <c r="N382" s="169" t="s">
        <v>708</v>
      </c>
      <c r="O382" s="169" t="s">
        <v>708</v>
      </c>
      <c r="P382" s="169" t="s">
        <v>708</v>
      </c>
      <c r="Q382" s="169">
        <v>92</v>
      </c>
      <c r="R382" s="169"/>
    </row>
    <row r="383" spans="1:18" hidden="1">
      <c r="A383" s="169" t="s">
        <v>707</v>
      </c>
      <c r="B383" s="169" t="s">
        <v>703</v>
      </c>
      <c r="C383" s="169" t="s">
        <v>691</v>
      </c>
      <c r="D383" s="169">
        <v>29</v>
      </c>
      <c r="E383" s="169">
        <v>439</v>
      </c>
      <c r="F383" s="169">
        <v>446</v>
      </c>
      <c r="G383" s="169">
        <v>169</v>
      </c>
      <c r="H383" s="169">
        <v>56</v>
      </c>
      <c r="I383" s="169">
        <v>15</v>
      </c>
      <c r="J383" s="169">
        <v>5</v>
      </c>
      <c r="K383" s="169" t="s">
        <v>708</v>
      </c>
      <c r="L383" s="169" t="s">
        <v>708</v>
      </c>
      <c r="M383" s="169" t="s">
        <v>708</v>
      </c>
      <c r="N383" s="169" t="s">
        <v>708</v>
      </c>
      <c r="O383" s="169" t="s">
        <v>708</v>
      </c>
      <c r="P383" s="169" t="s">
        <v>708</v>
      </c>
      <c r="Q383" s="169">
        <v>1159</v>
      </c>
      <c r="R383" s="169"/>
    </row>
    <row r="384" spans="1:18" hidden="1">
      <c r="A384" s="169" t="s">
        <v>707</v>
      </c>
      <c r="B384" s="169" t="s">
        <v>703</v>
      </c>
      <c r="C384" s="169" t="s">
        <v>692</v>
      </c>
      <c r="D384" s="169">
        <v>1</v>
      </c>
      <c r="E384" s="169">
        <v>20</v>
      </c>
      <c r="F384" s="169">
        <v>7</v>
      </c>
      <c r="G384" s="169">
        <v>11</v>
      </c>
      <c r="H384" s="169" t="s">
        <v>708</v>
      </c>
      <c r="I384" s="169" t="s">
        <v>708</v>
      </c>
      <c r="J384" s="169" t="s">
        <v>708</v>
      </c>
      <c r="K384" s="169" t="s">
        <v>708</v>
      </c>
      <c r="L384" s="169">
        <v>1</v>
      </c>
      <c r="M384" s="169" t="s">
        <v>708</v>
      </c>
      <c r="N384" s="169" t="s">
        <v>708</v>
      </c>
      <c r="O384" s="169" t="s">
        <v>708</v>
      </c>
      <c r="P384" s="169" t="s">
        <v>708</v>
      </c>
      <c r="Q384" s="169">
        <v>40</v>
      </c>
      <c r="R384" s="169"/>
    </row>
    <row r="385" spans="1:18" hidden="1">
      <c r="A385" s="169" t="s">
        <v>707</v>
      </c>
      <c r="B385" s="169" t="s">
        <v>703</v>
      </c>
      <c r="C385" s="169" t="s">
        <v>693</v>
      </c>
      <c r="D385" s="169">
        <v>1</v>
      </c>
      <c r="E385" s="169">
        <v>26</v>
      </c>
      <c r="F385" s="169">
        <v>24</v>
      </c>
      <c r="G385" s="169">
        <v>9</v>
      </c>
      <c r="H385" s="169">
        <v>3</v>
      </c>
      <c r="I385" s="169">
        <v>5</v>
      </c>
      <c r="J385" s="169" t="s">
        <v>708</v>
      </c>
      <c r="K385" s="169" t="s">
        <v>708</v>
      </c>
      <c r="L385" s="169" t="s">
        <v>708</v>
      </c>
      <c r="M385" s="169" t="s">
        <v>708</v>
      </c>
      <c r="N385" s="169" t="s">
        <v>708</v>
      </c>
      <c r="O385" s="169" t="s">
        <v>708</v>
      </c>
      <c r="P385" s="169" t="s">
        <v>708</v>
      </c>
      <c r="Q385" s="169">
        <v>68</v>
      </c>
      <c r="R385" s="169"/>
    </row>
    <row r="386" spans="1:18" hidden="1">
      <c r="A386" s="169" t="s">
        <v>707</v>
      </c>
      <c r="B386" s="169" t="s">
        <v>703</v>
      </c>
      <c r="C386" s="169" t="s">
        <v>694</v>
      </c>
      <c r="D386" s="169">
        <v>199</v>
      </c>
      <c r="E386" s="169">
        <v>2297</v>
      </c>
      <c r="F386" s="169">
        <v>3341</v>
      </c>
      <c r="G386" s="169">
        <v>1210</v>
      </c>
      <c r="H386" s="169">
        <v>399</v>
      </c>
      <c r="I386" s="169">
        <v>104</v>
      </c>
      <c r="J386" s="169">
        <v>42</v>
      </c>
      <c r="K386" s="169">
        <v>15</v>
      </c>
      <c r="L386" s="169">
        <v>4</v>
      </c>
      <c r="M386" s="169">
        <v>1</v>
      </c>
      <c r="N386" s="169">
        <v>1</v>
      </c>
      <c r="O386" s="169" t="s">
        <v>708</v>
      </c>
      <c r="P386" s="169" t="s">
        <v>708</v>
      </c>
      <c r="Q386" s="169">
        <v>7613</v>
      </c>
      <c r="R386" s="169"/>
    </row>
    <row r="387" spans="1:18" hidden="1">
      <c r="A387" s="169" t="s">
        <v>707</v>
      </c>
      <c r="B387" s="169" t="s">
        <v>703</v>
      </c>
      <c r="C387" s="169" t="s">
        <v>695</v>
      </c>
      <c r="D387" s="169">
        <v>1</v>
      </c>
      <c r="E387" s="169">
        <v>7</v>
      </c>
      <c r="F387" s="169">
        <v>43</v>
      </c>
      <c r="G387" s="169">
        <v>15</v>
      </c>
      <c r="H387" s="169">
        <v>6</v>
      </c>
      <c r="I387" s="169" t="s">
        <v>708</v>
      </c>
      <c r="J387" s="169">
        <v>1</v>
      </c>
      <c r="K387" s="169" t="s">
        <v>708</v>
      </c>
      <c r="L387" s="169" t="s">
        <v>708</v>
      </c>
      <c r="M387" s="169" t="s">
        <v>708</v>
      </c>
      <c r="N387" s="169" t="s">
        <v>708</v>
      </c>
      <c r="O387" s="169" t="s">
        <v>708</v>
      </c>
      <c r="P387" s="169" t="s">
        <v>708</v>
      </c>
      <c r="Q387" s="169">
        <v>73</v>
      </c>
      <c r="R387" s="169"/>
    </row>
    <row r="388" spans="1:18" hidden="1">
      <c r="A388" s="169" t="s">
        <v>707</v>
      </c>
      <c r="B388" s="169" t="s">
        <v>703</v>
      </c>
      <c r="C388" s="169" t="s">
        <v>696</v>
      </c>
      <c r="D388" s="169">
        <v>3</v>
      </c>
      <c r="E388" s="169">
        <v>30</v>
      </c>
      <c r="F388" s="169">
        <v>78</v>
      </c>
      <c r="G388" s="169">
        <v>33</v>
      </c>
      <c r="H388" s="169">
        <v>13</v>
      </c>
      <c r="I388" s="169">
        <v>5</v>
      </c>
      <c r="J388" s="169">
        <v>1</v>
      </c>
      <c r="K388" s="169" t="s">
        <v>708</v>
      </c>
      <c r="L388" s="169" t="s">
        <v>708</v>
      </c>
      <c r="M388" s="169">
        <v>1</v>
      </c>
      <c r="N388" s="169" t="s">
        <v>708</v>
      </c>
      <c r="O388" s="169" t="s">
        <v>708</v>
      </c>
      <c r="P388" s="169" t="s">
        <v>708</v>
      </c>
      <c r="Q388" s="169">
        <v>164</v>
      </c>
      <c r="R388" s="169"/>
    </row>
    <row r="389" spans="1:18" hidden="1">
      <c r="A389" s="169" t="s">
        <v>707</v>
      </c>
      <c r="B389" s="169" t="s">
        <v>703</v>
      </c>
      <c r="C389" s="169" t="s">
        <v>697</v>
      </c>
      <c r="D389" s="169" t="s">
        <v>708</v>
      </c>
      <c r="E389" s="169">
        <v>9</v>
      </c>
      <c r="F389" s="169">
        <v>14</v>
      </c>
      <c r="G389" s="169">
        <v>6</v>
      </c>
      <c r="H389" s="169" t="s">
        <v>708</v>
      </c>
      <c r="I389" s="169" t="s">
        <v>708</v>
      </c>
      <c r="J389" s="169" t="s">
        <v>708</v>
      </c>
      <c r="K389" s="169" t="s">
        <v>708</v>
      </c>
      <c r="L389" s="169" t="s">
        <v>708</v>
      </c>
      <c r="M389" s="169" t="s">
        <v>708</v>
      </c>
      <c r="N389" s="169" t="s">
        <v>708</v>
      </c>
      <c r="O389" s="169" t="s">
        <v>708</v>
      </c>
      <c r="P389" s="169" t="s">
        <v>708</v>
      </c>
      <c r="Q389" s="169">
        <v>29</v>
      </c>
      <c r="R389" s="169"/>
    </row>
    <row r="390" spans="1:18" hidden="1">
      <c r="A390" s="169" t="s">
        <v>707</v>
      </c>
      <c r="B390" s="169" t="s">
        <v>703</v>
      </c>
      <c r="C390" s="169" t="s">
        <v>698</v>
      </c>
      <c r="D390" s="169" t="s">
        <v>708</v>
      </c>
      <c r="E390" s="169">
        <v>65</v>
      </c>
      <c r="F390" s="169">
        <v>79</v>
      </c>
      <c r="G390" s="169">
        <v>36</v>
      </c>
      <c r="H390" s="169">
        <v>9</v>
      </c>
      <c r="I390" s="169">
        <v>3</v>
      </c>
      <c r="J390" s="169">
        <v>3</v>
      </c>
      <c r="K390" s="169" t="s">
        <v>708</v>
      </c>
      <c r="L390" s="169" t="s">
        <v>708</v>
      </c>
      <c r="M390" s="169" t="s">
        <v>708</v>
      </c>
      <c r="N390" s="169" t="s">
        <v>708</v>
      </c>
      <c r="O390" s="169" t="s">
        <v>708</v>
      </c>
      <c r="P390" s="169" t="s">
        <v>708</v>
      </c>
      <c r="Q390" s="169">
        <v>195</v>
      </c>
      <c r="R390" s="169"/>
    </row>
    <row r="391" spans="1:18" hidden="1">
      <c r="A391" s="169" t="s">
        <v>707</v>
      </c>
      <c r="B391" s="169" t="s">
        <v>703</v>
      </c>
      <c r="C391" s="169" t="s">
        <v>699</v>
      </c>
      <c r="D391" s="169">
        <v>60</v>
      </c>
      <c r="E391" s="169">
        <v>804</v>
      </c>
      <c r="F391" s="169">
        <v>925</v>
      </c>
      <c r="G391" s="169">
        <v>273</v>
      </c>
      <c r="H391" s="169">
        <v>99</v>
      </c>
      <c r="I391" s="169">
        <v>25</v>
      </c>
      <c r="J391" s="169">
        <v>6</v>
      </c>
      <c r="K391" s="169">
        <v>2</v>
      </c>
      <c r="L391" s="169">
        <v>2</v>
      </c>
      <c r="M391" s="169">
        <v>2</v>
      </c>
      <c r="N391" s="169" t="s">
        <v>708</v>
      </c>
      <c r="O391" s="169" t="s">
        <v>708</v>
      </c>
      <c r="P391" s="169">
        <v>1</v>
      </c>
      <c r="Q391" s="169">
        <v>2199</v>
      </c>
      <c r="R391" s="169"/>
    </row>
    <row r="392" spans="1:18" hidden="1">
      <c r="A392" s="169" t="s">
        <v>707</v>
      </c>
      <c r="B392" s="169" t="s">
        <v>703</v>
      </c>
      <c r="C392" s="169" t="s">
        <v>700</v>
      </c>
      <c r="D392" s="169" t="s">
        <v>708</v>
      </c>
      <c r="E392" s="169">
        <v>4</v>
      </c>
      <c r="F392" s="169">
        <v>5</v>
      </c>
      <c r="G392" s="169" t="s">
        <v>708</v>
      </c>
      <c r="H392" s="169" t="s">
        <v>708</v>
      </c>
      <c r="I392" s="169" t="s">
        <v>708</v>
      </c>
      <c r="J392" s="169" t="s">
        <v>708</v>
      </c>
      <c r="K392" s="169" t="s">
        <v>708</v>
      </c>
      <c r="L392" s="169" t="s">
        <v>708</v>
      </c>
      <c r="M392" s="169" t="s">
        <v>708</v>
      </c>
      <c r="N392" s="169" t="s">
        <v>708</v>
      </c>
      <c r="O392" s="169" t="s">
        <v>708</v>
      </c>
      <c r="P392" s="169" t="s">
        <v>708</v>
      </c>
      <c r="Q392" s="169">
        <v>9</v>
      </c>
      <c r="R392" s="169"/>
    </row>
    <row r="393" spans="1:18" hidden="1">
      <c r="A393" s="169" t="s">
        <v>707</v>
      </c>
      <c r="B393" s="169" t="s">
        <v>703</v>
      </c>
      <c r="C393" s="169" t="s">
        <v>701</v>
      </c>
      <c r="D393" s="169" t="s">
        <v>708</v>
      </c>
      <c r="E393" s="169">
        <v>2</v>
      </c>
      <c r="F393" s="169">
        <v>1</v>
      </c>
      <c r="G393" s="169" t="s">
        <v>708</v>
      </c>
      <c r="H393" s="169">
        <v>2</v>
      </c>
      <c r="I393" s="169">
        <v>3</v>
      </c>
      <c r="J393" s="169" t="s">
        <v>708</v>
      </c>
      <c r="K393" s="169" t="s">
        <v>708</v>
      </c>
      <c r="L393" s="169" t="s">
        <v>708</v>
      </c>
      <c r="M393" s="169" t="s">
        <v>708</v>
      </c>
      <c r="N393" s="169" t="s">
        <v>708</v>
      </c>
      <c r="O393" s="169" t="s">
        <v>708</v>
      </c>
      <c r="P393" s="169" t="s">
        <v>708</v>
      </c>
      <c r="Q393" s="169">
        <v>8</v>
      </c>
      <c r="R393" s="169"/>
    </row>
    <row r="394" spans="1:18" hidden="1">
      <c r="A394" s="169" t="s">
        <v>707</v>
      </c>
      <c r="B394" s="169" t="s">
        <v>703</v>
      </c>
      <c r="C394" s="169" t="s">
        <v>649</v>
      </c>
      <c r="D394" s="169">
        <v>852</v>
      </c>
      <c r="E394" s="169">
        <v>9329</v>
      </c>
      <c r="F394" s="169">
        <v>12126</v>
      </c>
      <c r="G394" s="169">
        <v>4384</v>
      </c>
      <c r="H394" s="169">
        <v>1479</v>
      </c>
      <c r="I394" s="169">
        <v>425</v>
      </c>
      <c r="J394" s="169">
        <v>135</v>
      </c>
      <c r="K394" s="169">
        <v>54</v>
      </c>
      <c r="L394" s="169">
        <v>18</v>
      </c>
      <c r="M394" s="169">
        <v>9</v>
      </c>
      <c r="N394" s="169">
        <v>7</v>
      </c>
      <c r="O394" s="169">
        <v>1</v>
      </c>
      <c r="P394" s="169">
        <v>5</v>
      </c>
      <c r="Q394" s="169">
        <v>28824</v>
      </c>
      <c r="R394" s="169"/>
    </row>
    <row r="395" spans="1:18" hidden="1">
      <c r="A395" s="169" t="s">
        <v>707</v>
      </c>
      <c r="B395" s="169" t="s">
        <v>705</v>
      </c>
      <c r="C395" s="169" t="s">
        <v>653</v>
      </c>
      <c r="D395" s="169">
        <v>4</v>
      </c>
      <c r="E395" s="169">
        <v>15</v>
      </c>
      <c r="F395" s="169">
        <v>19</v>
      </c>
      <c r="G395" s="169">
        <v>15</v>
      </c>
      <c r="H395" s="169">
        <v>3</v>
      </c>
      <c r="I395" s="169">
        <v>2</v>
      </c>
      <c r="J395" s="169">
        <v>2</v>
      </c>
      <c r="K395" s="169" t="s">
        <v>708</v>
      </c>
      <c r="L395" s="169">
        <v>1</v>
      </c>
      <c r="M395" s="169" t="s">
        <v>708</v>
      </c>
      <c r="N395" s="169" t="s">
        <v>708</v>
      </c>
      <c r="O395" s="169" t="s">
        <v>708</v>
      </c>
      <c r="P395" s="169" t="s">
        <v>708</v>
      </c>
      <c r="Q395" s="169">
        <v>61</v>
      </c>
      <c r="R395" s="169"/>
    </row>
    <row r="396" spans="1:18" hidden="1">
      <c r="A396" s="169" t="s">
        <v>707</v>
      </c>
      <c r="B396" s="169" t="s">
        <v>705</v>
      </c>
      <c r="C396" s="169" t="s">
        <v>654</v>
      </c>
      <c r="D396" s="169">
        <v>2</v>
      </c>
      <c r="E396" s="169">
        <v>35</v>
      </c>
      <c r="F396" s="169">
        <v>41</v>
      </c>
      <c r="G396" s="169">
        <v>19</v>
      </c>
      <c r="H396" s="169">
        <v>8</v>
      </c>
      <c r="I396" s="169">
        <v>1</v>
      </c>
      <c r="J396" s="169">
        <v>2</v>
      </c>
      <c r="K396" s="169">
        <v>1</v>
      </c>
      <c r="L396" s="169" t="s">
        <v>708</v>
      </c>
      <c r="M396" s="169" t="s">
        <v>708</v>
      </c>
      <c r="N396" s="169" t="s">
        <v>708</v>
      </c>
      <c r="O396" s="169" t="s">
        <v>708</v>
      </c>
      <c r="P396" s="169" t="s">
        <v>708</v>
      </c>
      <c r="Q396" s="169">
        <v>109</v>
      </c>
      <c r="R396" s="169"/>
    </row>
    <row r="397" spans="1:18" hidden="1">
      <c r="A397" s="169" t="s">
        <v>707</v>
      </c>
      <c r="B397" s="169" t="s">
        <v>705</v>
      </c>
      <c r="C397" s="169" t="s">
        <v>655</v>
      </c>
      <c r="D397" s="169">
        <v>1</v>
      </c>
      <c r="E397" s="169">
        <v>24</v>
      </c>
      <c r="F397" s="169">
        <v>22</v>
      </c>
      <c r="G397" s="169">
        <v>13</v>
      </c>
      <c r="H397" s="169">
        <v>3</v>
      </c>
      <c r="I397" s="169" t="s">
        <v>708</v>
      </c>
      <c r="J397" s="169" t="s">
        <v>708</v>
      </c>
      <c r="K397" s="169" t="s">
        <v>708</v>
      </c>
      <c r="L397" s="169" t="s">
        <v>708</v>
      </c>
      <c r="M397" s="169" t="s">
        <v>708</v>
      </c>
      <c r="N397" s="169" t="s">
        <v>708</v>
      </c>
      <c r="O397" s="169" t="s">
        <v>708</v>
      </c>
      <c r="P397" s="169" t="s">
        <v>708</v>
      </c>
      <c r="Q397" s="169">
        <v>63</v>
      </c>
      <c r="R397" s="169"/>
    </row>
    <row r="398" spans="1:18" hidden="1">
      <c r="A398" s="169" t="s">
        <v>707</v>
      </c>
      <c r="B398" s="169" t="s">
        <v>705</v>
      </c>
      <c r="C398" s="169" t="s">
        <v>656</v>
      </c>
      <c r="D398" s="169">
        <v>15</v>
      </c>
      <c r="E398" s="169">
        <v>278</v>
      </c>
      <c r="F398" s="169">
        <v>333</v>
      </c>
      <c r="G398" s="169">
        <v>143</v>
      </c>
      <c r="H398" s="169">
        <v>61</v>
      </c>
      <c r="I398" s="169">
        <v>26</v>
      </c>
      <c r="J398" s="169">
        <v>11</v>
      </c>
      <c r="K398" s="169">
        <v>4</v>
      </c>
      <c r="L398" s="169">
        <v>3</v>
      </c>
      <c r="M398" s="169" t="s">
        <v>708</v>
      </c>
      <c r="N398" s="169" t="s">
        <v>708</v>
      </c>
      <c r="O398" s="169" t="s">
        <v>708</v>
      </c>
      <c r="P398" s="169">
        <v>1</v>
      </c>
      <c r="Q398" s="169">
        <v>875</v>
      </c>
      <c r="R398" s="169"/>
    </row>
    <row r="399" spans="1:18" hidden="1">
      <c r="A399" s="169" t="s">
        <v>707</v>
      </c>
      <c r="B399" s="169" t="s">
        <v>705</v>
      </c>
      <c r="C399" s="169" t="s">
        <v>288</v>
      </c>
      <c r="D399" s="169">
        <v>121</v>
      </c>
      <c r="E399" s="169">
        <v>1105</v>
      </c>
      <c r="F399" s="169">
        <v>1464</v>
      </c>
      <c r="G399" s="169">
        <v>718</v>
      </c>
      <c r="H399" s="169">
        <v>291</v>
      </c>
      <c r="I399" s="169">
        <v>113</v>
      </c>
      <c r="J399" s="169">
        <v>38</v>
      </c>
      <c r="K399" s="169">
        <v>15</v>
      </c>
      <c r="L399" s="169">
        <v>5</v>
      </c>
      <c r="M399" s="169">
        <v>4</v>
      </c>
      <c r="N399" s="169">
        <v>4</v>
      </c>
      <c r="O399" s="169">
        <v>1</v>
      </c>
      <c r="P399" s="169">
        <v>1</v>
      </c>
      <c r="Q399" s="169">
        <v>3880</v>
      </c>
      <c r="R399" s="169"/>
    </row>
    <row r="400" spans="1:18" hidden="1">
      <c r="A400" s="169" t="s">
        <v>707</v>
      </c>
      <c r="B400" s="169" t="s">
        <v>705</v>
      </c>
      <c r="C400" s="169" t="s">
        <v>657</v>
      </c>
      <c r="D400" s="169" t="s">
        <v>708</v>
      </c>
      <c r="E400" s="169">
        <v>9</v>
      </c>
      <c r="F400" s="169">
        <v>27</v>
      </c>
      <c r="G400" s="169">
        <v>23</v>
      </c>
      <c r="H400" s="169">
        <v>4</v>
      </c>
      <c r="I400" s="169">
        <v>2</v>
      </c>
      <c r="J400" s="169" t="s">
        <v>708</v>
      </c>
      <c r="K400" s="169" t="s">
        <v>708</v>
      </c>
      <c r="L400" s="169" t="s">
        <v>708</v>
      </c>
      <c r="M400" s="169" t="s">
        <v>708</v>
      </c>
      <c r="N400" s="169" t="s">
        <v>708</v>
      </c>
      <c r="O400" s="169" t="s">
        <v>708</v>
      </c>
      <c r="P400" s="169" t="s">
        <v>708</v>
      </c>
      <c r="Q400" s="169">
        <v>65</v>
      </c>
      <c r="R400" s="169"/>
    </row>
    <row r="401" spans="1:18" hidden="1">
      <c r="A401" s="169" t="s">
        <v>707</v>
      </c>
      <c r="B401" s="169" t="s">
        <v>705</v>
      </c>
      <c r="C401" s="169" t="s">
        <v>658</v>
      </c>
      <c r="D401" s="169" t="s">
        <v>708</v>
      </c>
      <c r="E401" s="169">
        <v>19</v>
      </c>
      <c r="F401" s="169">
        <v>38</v>
      </c>
      <c r="G401" s="169">
        <v>12</v>
      </c>
      <c r="H401" s="169">
        <v>8</v>
      </c>
      <c r="I401" s="169">
        <v>2</v>
      </c>
      <c r="J401" s="169" t="s">
        <v>708</v>
      </c>
      <c r="K401" s="169" t="s">
        <v>708</v>
      </c>
      <c r="L401" s="169" t="s">
        <v>708</v>
      </c>
      <c r="M401" s="169" t="s">
        <v>708</v>
      </c>
      <c r="N401" s="169" t="s">
        <v>708</v>
      </c>
      <c r="O401" s="169" t="s">
        <v>708</v>
      </c>
      <c r="P401" s="169">
        <v>1</v>
      </c>
      <c r="Q401" s="169">
        <v>80</v>
      </c>
      <c r="R401" s="169"/>
    </row>
    <row r="402" spans="1:18" hidden="1">
      <c r="A402" s="169" t="s">
        <v>707</v>
      </c>
      <c r="B402" s="169" t="s">
        <v>705</v>
      </c>
      <c r="C402" s="169" t="s">
        <v>659</v>
      </c>
      <c r="D402" s="169">
        <v>2</v>
      </c>
      <c r="E402" s="169">
        <v>34</v>
      </c>
      <c r="F402" s="169">
        <v>37</v>
      </c>
      <c r="G402" s="169">
        <v>16</v>
      </c>
      <c r="H402" s="169">
        <v>4</v>
      </c>
      <c r="I402" s="169">
        <v>4</v>
      </c>
      <c r="J402" s="169" t="s">
        <v>708</v>
      </c>
      <c r="K402" s="169" t="s">
        <v>708</v>
      </c>
      <c r="L402" s="169" t="s">
        <v>708</v>
      </c>
      <c r="M402" s="169" t="s">
        <v>708</v>
      </c>
      <c r="N402" s="169" t="s">
        <v>708</v>
      </c>
      <c r="O402" s="169" t="s">
        <v>708</v>
      </c>
      <c r="P402" s="169" t="s">
        <v>708</v>
      </c>
      <c r="Q402" s="169">
        <v>97</v>
      </c>
      <c r="R402" s="169"/>
    </row>
    <row r="403" spans="1:18" hidden="1">
      <c r="A403" s="169" t="s">
        <v>707</v>
      </c>
      <c r="B403" s="169" t="s">
        <v>705</v>
      </c>
      <c r="C403" s="169" t="s">
        <v>660</v>
      </c>
      <c r="D403" s="169">
        <v>2</v>
      </c>
      <c r="E403" s="169">
        <v>97</v>
      </c>
      <c r="F403" s="169">
        <v>131</v>
      </c>
      <c r="G403" s="169">
        <v>55</v>
      </c>
      <c r="H403" s="169">
        <v>16</v>
      </c>
      <c r="I403" s="169">
        <v>9</v>
      </c>
      <c r="J403" s="169">
        <v>4</v>
      </c>
      <c r="K403" s="169" t="s">
        <v>708</v>
      </c>
      <c r="L403" s="169" t="s">
        <v>708</v>
      </c>
      <c r="M403" s="169" t="s">
        <v>708</v>
      </c>
      <c r="N403" s="169" t="s">
        <v>708</v>
      </c>
      <c r="O403" s="169" t="s">
        <v>708</v>
      </c>
      <c r="P403" s="169" t="s">
        <v>708</v>
      </c>
      <c r="Q403" s="169">
        <v>314</v>
      </c>
      <c r="R403" s="169"/>
    </row>
    <row r="404" spans="1:18" hidden="1">
      <c r="A404" s="169" t="s">
        <v>707</v>
      </c>
      <c r="B404" s="169" t="s">
        <v>705</v>
      </c>
      <c r="C404" s="169" t="s">
        <v>661</v>
      </c>
      <c r="D404" s="169">
        <v>92</v>
      </c>
      <c r="E404" s="169">
        <v>799</v>
      </c>
      <c r="F404" s="169">
        <v>1097</v>
      </c>
      <c r="G404" s="169">
        <v>471</v>
      </c>
      <c r="H404" s="169">
        <v>177</v>
      </c>
      <c r="I404" s="169">
        <v>64</v>
      </c>
      <c r="J404" s="169">
        <v>18</v>
      </c>
      <c r="K404" s="169">
        <v>3</v>
      </c>
      <c r="L404" s="169">
        <v>2</v>
      </c>
      <c r="M404" s="169">
        <v>3</v>
      </c>
      <c r="N404" s="169" t="s">
        <v>708</v>
      </c>
      <c r="O404" s="169" t="s">
        <v>708</v>
      </c>
      <c r="P404" s="169" t="s">
        <v>708</v>
      </c>
      <c r="Q404" s="169">
        <v>2726</v>
      </c>
      <c r="R404" s="169"/>
    </row>
    <row r="405" spans="1:18" hidden="1">
      <c r="A405" s="169" t="s">
        <v>707</v>
      </c>
      <c r="B405" s="169" t="s">
        <v>705</v>
      </c>
      <c r="C405" s="169" t="s">
        <v>662</v>
      </c>
      <c r="D405" s="169">
        <v>2</v>
      </c>
      <c r="E405" s="169">
        <v>12</v>
      </c>
      <c r="F405" s="169">
        <v>14</v>
      </c>
      <c r="G405" s="169">
        <v>5</v>
      </c>
      <c r="H405" s="169">
        <v>4</v>
      </c>
      <c r="I405" s="169" t="s">
        <v>708</v>
      </c>
      <c r="J405" s="169" t="s">
        <v>708</v>
      </c>
      <c r="K405" s="169" t="s">
        <v>708</v>
      </c>
      <c r="L405" s="169" t="s">
        <v>708</v>
      </c>
      <c r="M405" s="169" t="s">
        <v>708</v>
      </c>
      <c r="N405" s="169" t="s">
        <v>708</v>
      </c>
      <c r="O405" s="169" t="s">
        <v>708</v>
      </c>
      <c r="P405" s="169" t="s">
        <v>708</v>
      </c>
      <c r="Q405" s="169">
        <v>37</v>
      </c>
      <c r="R405" s="169"/>
    </row>
    <row r="406" spans="1:18" hidden="1">
      <c r="A406" s="169" t="s">
        <v>707</v>
      </c>
      <c r="B406" s="169" t="s">
        <v>705</v>
      </c>
      <c r="C406" s="169" t="s">
        <v>663</v>
      </c>
      <c r="D406" s="169">
        <v>11</v>
      </c>
      <c r="E406" s="169">
        <v>140</v>
      </c>
      <c r="F406" s="169">
        <v>248</v>
      </c>
      <c r="G406" s="169">
        <v>92</v>
      </c>
      <c r="H406" s="169">
        <v>42</v>
      </c>
      <c r="I406" s="169">
        <v>11</v>
      </c>
      <c r="J406" s="169">
        <v>2</v>
      </c>
      <c r="K406" s="169">
        <v>1</v>
      </c>
      <c r="L406" s="169">
        <v>1</v>
      </c>
      <c r="M406" s="169">
        <v>1</v>
      </c>
      <c r="N406" s="169" t="s">
        <v>708</v>
      </c>
      <c r="O406" s="169" t="s">
        <v>708</v>
      </c>
      <c r="P406" s="169" t="s">
        <v>708</v>
      </c>
      <c r="Q406" s="169">
        <v>549</v>
      </c>
      <c r="R406" s="169"/>
    </row>
    <row r="407" spans="1:18" hidden="1">
      <c r="A407" s="169" t="s">
        <v>707</v>
      </c>
      <c r="B407" s="169" t="s">
        <v>705</v>
      </c>
      <c r="C407" s="169" t="s">
        <v>664</v>
      </c>
      <c r="D407" s="169">
        <v>1</v>
      </c>
      <c r="E407" s="169">
        <v>13</v>
      </c>
      <c r="F407" s="169">
        <v>30</v>
      </c>
      <c r="G407" s="169">
        <v>18</v>
      </c>
      <c r="H407" s="169">
        <v>7</v>
      </c>
      <c r="I407" s="169">
        <v>3</v>
      </c>
      <c r="J407" s="169" t="s">
        <v>708</v>
      </c>
      <c r="K407" s="169">
        <v>3</v>
      </c>
      <c r="L407" s="169">
        <v>1</v>
      </c>
      <c r="M407" s="169" t="s">
        <v>708</v>
      </c>
      <c r="N407" s="169" t="s">
        <v>708</v>
      </c>
      <c r="O407" s="169" t="s">
        <v>708</v>
      </c>
      <c r="P407" s="169" t="s">
        <v>708</v>
      </c>
      <c r="Q407" s="169">
        <v>76</v>
      </c>
      <c r="R407" s="169"/>
    </row>
    <row r="408" spans="1:18" hidden="1">
      <c r="A408" s="169" t="s">
        <v>707</v>
      </c>
      <c r="B408" s="169" t="s">
        <v>705</v>
      </c>
      <c r="C408" s="169" t="s">
        <v>665</v>
      </c>
      <c r="D408" s="169">
        <v>2</v>
      </c>
      <c r="E408" s="169">
        <v>52</v>
      </c>
      <c r="F408" s="169">
        <v>88</v>
      </c>
      <c r="G408" s="169">
        <v>18</v>
      </c>
      <c r="H408" s="169">
        <v>12</v>
      </c>
      <c r="I408" s="169">
        <v>5</v>
      </c>
      <c r="J408" s="169">
        <v>1</v>
      </c>
      <c r="K408" s="169" t="s">
        <v>708</v>
      </c>
      <c r="L408" s="169">
        <v>1</v>
      </c>
      <c r="M408" s="169" t="s">
        <v>708</v>
      </c>
      <c r="N408" s="169" t="s">
        <v>708</v>
      </c>
      <c r="O408" s="169">
        <v>1</v>
      </c>
      <c r="P408" s="169" t="s">
        <v>708</v>
      </c>
      <c r="Q408" s="169">
        <v>180</v>
      </c>
      <c r="R408" s="169"/>
    </row>
    <row r="409" spans="1:18" hidden="1">
      <c r="A409" s="169" t="s">
        <v>707</v>
      </c>
      <c r="B409" s="169" t="s">
        <v>705</v>
      </c>
      <c r="C409" s="169" t="s">
        <v>666</v>
      </c>
      <c r="D409" s="169">
        <v>5</v>
      </c>
      <c r="E409" s="169">
        <v>39</v>
      </c>
      <c r="F409" s="169">
        <v>47</v>
      </c>
      <c r="G409" s="169">
        <v>31</v>
      </c>
      <c r="H409" s="169">
        <v>10</v>
      </c>
      <c r="I409" s="169">
        <v>1</v>
      </c>
      <c r="J409" s="169" t="s">
        <v>708</v>
      </c>
      <c r="K409" s="169" t="s">
        <v>708</v>
      </c>
      <c r="L409" s="169" t="s">
        <v>708</v>
      </c>
      <c r="M409" s="169" t="s">
        <v>708</v>
      </c>
      <c r="N409" s="169" t="s">
        <v>708</v>
      </c>
      <c r="O409" s="169" t="s">
        <v>708</v>
      </c>
      <c r="P409" s="169" t="s">
        <v>708</v>
      </c>
      <c r="Q409" s="169">
        <v>133</v>
      </c>
      <c r="R409" s="169"/>
    </row>
    <row r="410" spans="1:18" hidden="1">
      <c r="A410" s="169" t="s">
        <v>707</v>
      </c>
      <c r="B410" s="169" t="s">
        <v>705</v>
      </c>
      <c r="C410" s="169" t="s">
        <v>667</v>
      </c>
      <c r="D410" s="169">
        <v>2</v>
      </c>
      <c r="E410" s="169">
        <v>17</v>
      </c>
      <c r="F410" s="169">
        <v>17</v>
      </c>
      <c r="G410" s="169">
        <v>12</v>
      </c>
      <c r="H410" s="169">
        <v>3</v>
      </c>
      <c r="I410" s="169">
        <v>1</v>
      </c>
      <c r="J410" s="169" t="s">
        <v>708</v>
      </c>
      <c r="K410" s="169">
        <v>1</v>
      </c>
      <c r="L410" s="169" t="s">
        <v>708</v>
      </c>
      <c r="M410" s="169" t="s">
        <v>708</v>
      </c>
      <c r="N410" s="169" t="s">
        <v>708</v>
      </c>
      <c r="O410" s="169" t="s">
        <v>708</v>
      </c>
      <c r="P410" s="169" t="s">
        <v>708</v>
      </c>
      <c r="Q410" s="169">
        <v>53</v>
      </c>
      <c r="R410" s="169"/>
    </row>
    <row r="411" spans="1:18" hidden="1">
      <c r="A411" s="169" t="s">
        <v>707</v>
      </c>
      <c r="B411" s="169" t="s">
        <v>705</v>
      </c>
      <c r="C411" s="169" t="s">
        <v>668</v>
      </c>
      <c r="D411" s="169">
        <v>2</v>
      </c>
      <c r="E411" s="169">
        <v>22</v>
      </c>
      <c r="F411" s="169">
        <v>32</v>
      </c>
      <c r="G411" s="169">
        <v>8</v>
      </c>
      <c r="H411" s="169">
        <v>4</v>
      </c>
      <c r="I411" s="169">
        <v>1</v>
      </c>
      <c r="J411" s="169">
        <v>1</v>
      </c>
      <c r="K411" s="169" t="s">
        <v>708</v>
      </c>
      <c r="L411" s="169" t="s">
        <v>708</v>
      </c>
      <c r="M411" s="169" t="s">
        <v>708</v>
      </c>
      <c r="N411" s="169" t="s">
        <v>708</v>
      </c>
      <c r="O411" s="169" t="s">
        <v>708</v>
      </c>
      <c r="P411" s="169" t="s">
        <v>708</v>
      </c>
      <c r="Q411" s="169">
        <v>70</v>
      </c>
      <c r="R411" s="169"/>
    </row>
    <row r="412" spans="1:18" hidden="1">
      <c r="A412" s="169" t="s">
        <v>707</v>
      </c>
      <c r="B412" s="169" t="s">
        <v>705</v>
      </c>
      <c r="C412" s="169" t="s">
        <v>669</v>
      </c>
      <c r="D412" s="169">
        <v>3</v>
      </c>
      <c r="E412" s="169">
        <v>24</v>
      </c>
      <c r="F412" s="169">
        <v>32</v>
      </c>
      <c r="G412" s="169">
        <v>11</v>
      </c>
      <c r="H412" s="169">
        <v>3</v>
      </c>
      <c r="I412" s="169" t="s">
        <v>708</v>
      </c>
      <c r="J412" s="169" t="s">
        <v>708</v>
      </c>
      <c r="K412" s="169" t="s">
        <v>708</v>
      </c>
      <c r="L412" s="169" t="s">
        <v>708</v>
      </c>
      <c r="M412" s="169" t="s">
        <v>708</v>
      </c>
      <c r="N412" s="169" t="s">
        <v>708</v>
      </c>
      <c r="O412" s="169" t="s">
        <v>708</v>
      </c>
      <c r="P412" s="169" t="s">
        <v>708</v>
      </c>
      <c r="Q412" s="169">
        <v>73</v>
      </c>
      <c r="R412" s="169"/>
    </row>
    <row r="413" spans="1:18" hidden="1">
      <c r="A413" s="169" t="s">
        <v>707</v>
      </c>
      <c r="B413" s="169" t="s">
        <v>705</v>
      </c>
      <c r="C413" s="169" t="s">
        <v>670</v>
      </c>
      <c r="D413" s="169">
        <v>5</v>
      </c>
      <c r="E413" s="169">
        <v>41</v>
      </c>
      <c r="F413" s="169">
        <v>72</v>
      </c>
      <c r="G413" s="169">
        <v>23</v>
      </c>
      <c r="H413" s="169">
        <v>9</v>
      </c>
      <c r="I413" s="169">
        <v>2</v>
      </c>
      <c r="J413" s="169" t="s">
        <v>708</v>
      </c>
      <c r="K413" s="169" t="s">
        <v>708</v>
      </c>
      <c r="L413" s="169">
        <v>1</v>
      </c>
      <c r="M413" s="169" t="s">
        <v>708</v>
      </c>
      <c r="N413" s="169" t="s">
        <v>708</v>
      </c>
      <c r="O413" s="169" t="s">
        <v>708</v>
      </c>
      <c r="P413" s="169" t="s">
        <v>708</v>
      </c>
      <c r="Q413" s="169">
        <v>153</v>
      </c>
      <c r="R413" s="169"/>
    </row>
    <row r="414" spans="1:18" hidden="1">
      <c r="A414" s="169" t="s">
        <v>707</v>
      </c>
      <c r="B414" s="169" t="s">
        <v>705</v>
      </c>
      <c r="C414" s="169" t="s">
        <v>671</v>
      </c>
      <c r="D414" s="169">
        <v>17</v>
      </c>
      <c r="E414" s="169">
        <v>149</v>
      </c>
      <c r="F414" s="169">
        <v>188</v>
      </c>
      <c r="G414" s="169">
        <v>71</v>
      </c>
      <c r="H414" s="169">
        <v>32</v>
      </c>
      <c r="I414" s="169">
        <v>10</v>
      </c>
      <c r="J414" s="169">
        <v>6</v>
      </c>
      <c r="K414" s="169">
        <v>5</v>
      </c>
      <c r="L414" s="169" t="s">
        <v>708</v>
      </c>
      <c r="M414" s="169" t="s">
        <v>708</v>
      </c>
      <c r="N414" s="169">
        <v>1</v>
      </c>
      <c r="O414" s="169" t="s">
        <v>708</v>
      </c>
      <c r="P414" s="169" t="s">
        <v>708</v>
      </c>
      <c r="Q414" s="169">
        <v>479</v>
      </c>
      <c r="R414" s="169"/>
    </row>
    <row r="415" spans="1:18" hidden="1">
      <c r="A415" s="169" t="s">
        <v>707</v>
      </c>
      <c r="B415" s="169" t="s">
        <v>705</v>
      </c>
      <c r="C415" s="169" t="s">
        <v>672</v>
      </c>
      <c r="D415" s="169">
        <v>3</v>
      </c>
      <c r="E415" s="169">
        <v>33</v>
      </c>
      <c r="F415" s="169">
        <v>30</v>
      </c>
      <c r="G415" s="169">
        <v>9</v>
      </c>
      <c r="H415" s="169">
        <v>4</v>
      </c>
      <c r="I415" s="169" t="s">
        <v>708</v>
      </c>
      <c r="J415" s="169">
        <v>2</v>
      </c>
      <c r="K415" s="169" t="s">
        <v>708</v>
      </c>
      <c r="L415" s="169" t="s">
        <v>708</v>
      </c>
      <c r="M415" s="169" t="s">
        <v>708</v>
      </c>
      <c r="N415" s="169" t="s">
        <v>708</v>
      </c>
      <c r="O415" s="169" t="s">
        <v>708</v>
      </c>
      <c r="P415" s="169" t="s">
        <v>708</v>
      </c>
      <c r="Q415" s="169">
        <v>81</v>
      </c>
      <c r="R415" s="169"/>
    </row>
    <row r="416" spans="1:18" hidden="1">
      <c r="A416" s="169" t="s">
        <v>707</v>
      </c>
      <c r="B416" s="169" t="s">
        <v>705</v>
      </c>
      <c r="C416" s="169" t="s">
        <v>673</v>
      </c>
      <c r="D416" s="169">
        <v>3</v>
      </c>
      <c r="E416" s="169">
        <v>63</v>
      </c>
      <c r="F416" s="169">
        <v>73</v>
      </c>
      <c r="G416" s="169">
        <v>21</v>
      </c>
      <c r="H416" s="169">
        <v>15</v>
      </c>
      <c r="I416" s="169">
        <v>3</v>
      </c>
      <c r="J416" s="169" t="s">
        <v>708</v>
      </c>
      <c r="K416" s="169">
        <v>1</v>
      </c>
      <c r="L416" s="169" t="s">
        <v>708</v>
      </c>
      <c r="M416" s="169" t="s">
        <v>708</v>
      </c>
      <c r="N416" s="169" t="s">
        <v>708</v>
      </c>
      <c r="O416" s="169" t="s">
        <v>708</v>
      </c>
      <c r="P416" s="169" t="s">
        <v>708</v>
      </c>
      <c r="Q416" s="169">
        <v>179</v>
      </c>
      <c r="R416" s="169"/>
    </row>
    <row r="417" spans="1:18" hidden="1">
      <c r="A417" s="169" t="s">
        <v>707</v>
      </c>
      <c r="B417" s="169" t="s">
        <v>705</v>
      </c>
      <c r="C417" s="169" t="s">
        <v>674</v>
      </c>
      <c r="D417" s="169">
        <v>4</v>
      </c>
      <c r="E417" s="169">
        <v>24</v>
      </c>
      <c r="F417" s="169">
        <v>42</v>
      </c>
      <c r="G417" s="169">
        <v>23</v>
      </c>
      <c r="H417" s="169">
        <v>11</v>
      </c>
      <c r="I417" s="169">
        <v>3</v>
      </c>
      <c r="J417" s="169">
        <v>3</v>
      </c>
      <c r="K417" s="169" t="s">
        <v>708</v>
      </c>
      <c r="L417" s="169" t="s">
        <v>708</v>
      </c>
      <c r="M417" s="169">
        <v>1</v>
      </c>
      <c r="N417" s="169" t="s">
        <v>708</v>
      </c>
      <c r="O417" s="169" t="s">
        <v>708</v>
      </c>
      <c r="P417" s="169" t="s">
        <v>708</v>
      </c>
      <c r="Q417" s="169">
        <v>111</v>
      </c>
      <c r="R417" s="169"/>
    </row>
    <row r="418" spans="1:18" hidden="1">
      <c r="A418" s="169" t="s">
        <v>707</v>
      </c>
      <c r="B418" s="169" t="s">
        <v>705</v>
      </c>
      <c r="C418" s="169" t="s">
        <v>675</v>
      </c>
      <c r="D418" s="169">
        <v>4</v>
      </c>
      <c r="E418" s="169">
        <v>27</v>
      </c>
      <c r="F418" s="169">
        <v>37</v>
      </c>
      <c r="G418" s="169">
        <v>18</v>
      </c>
      <c r="H418" s="169">
        <v>5</v>
      </c>
      <c r="I418" s="169">
        <v>3</v>
      </c>
      <c r="J418" s="169" t="s">
        <v>708</v>
      </c>
      <c r="K418" s="169">
        <v>1</v>
      </c>
      <c r="L418" s="169" t="s">
        <v>708</v>
      </c>
      <c r="M418" s="169" t="s">
        <v>708</v>
      </c>
      <c r="N418" s="169" t="s">
        <v>708</v>
      </c>
      <c r="O418" s="169" t="s">
        <v>708</v>
      </c>
      <c r="P418" s="169" t="s">
        <v>708</v>
      </c>
      <c r="Q418" s="169">
        <v>95</v>
      </c>
      <c r="R418" s="169"/>
    </row>
    <row r="419" spans="1:18" hidden="1">
      <c r="A419" s="169" t="s">
        <v>707</v>
      </c>
      <c r="B419" s="169" t="s">
        <v>705</v>
      </c>
      <c r="C419" s="169" t="s">
        <v>676</v>
      </c>
      <c r="D419" s="169">
        <v>5</v>
      </c>
      <c r="E419" s="169">
        <v>14</v>
      </c>
      <c r="F419" s="169">
        <v>25</v>
      </c>
      <c r="G419" s="169">
        <v>12</v>
      </c>
      <c r="H419" s="169">
        <v>5</v>
      </c>
      <c r="I419" s="169" t="s">
        <v>708</v>
      </c>
      <c r="J419" s="169">
        <v>2</v>
      </c>
      <c r="K419" s="169" t="s">
        <v>708</v>
      </c>
      <c r="L419" s="169" t="s">
        <v>708</v>
      </c>
      <c r="M419" s="169" t="s">
        <v>708</v>
      </c>
      <c r="N419" s="169" t="s">
        <v>708</v>
      </c>
      <c r="O419" s="169" t="s">
        <v>708</v>
      </c>
      <c r="P419" s="169" t="s">
        <v>708</v>
      </c>
      <c r="Q419" s="169">
        <v>63</v>
      </c>
      <c r="R419" s="169"/>
    </row>
    <row r="420" spans="1:18" hidden="1">
      <c r="A420" s="169" t="s">
        <v>707</v>
      </c>
      <c r="B420" s="169" t="s">
        <v>705</v>
      </c>
      <c r="C420" s="169" t="s">
        <v>677</v>
      </c>
      <c r="D420" s="169">
        <v>1</v>
      </c>
      <c r="E420" s="169">
        <v>16</v>
      </c>
      <c r="F420" s="169">
        <v>36</v>
      </c>
      <c r="G420" s="169">
        <v>18</v>
      </c>
      <c r="H420" s="169">
        <v>4</v>
      </c>
      <c r="I420" s="169">
        <v>5</v>
      </c>
      <c r="J420" s="169">
        <v>3</v>
      </c>
      <c r="K420" s="169" t="s">
        <v>708</v>
      </c>
      <c r="L420" s="169" t="s">
        <v>708</v>
      </c>
      <c r="M420" s="169" t="s">
        <v>708</v>
      </c>
      <c r="N420" s="169" t="s">
        <v>708</v>
      </c>
      <c r="O420" s="169">
        <v>1</v>
      </c>
      <c r="P420" s="169" t="s">
        <v>708</v>
      </c>
      <c r="Q420" s="169">
        <v>84</v>
      </c>
      <c r="R420" s="169"/>
    </row>
    <row r="421" spans="1:18" hidden="1">
      <c r="A421" s="169" t="s">
        <v>707</v>
      </c>
      <c r="B421" s="169" t="s">
        <v>705</v>
      </c>
      <c r="C421" s="169" t="s">
        <v>678</v>
      </c>
      <c r="D421" s="169">
        <v>98</v>
      </c>
      <c r="E421" s="169">
        <v>857</v>
      </c>
      <c r="F421" s="169">
        <v>1207</v>
      </c>
      <c r="G421" s="169">
        <v>464</v>
      </c>
      <c r="H421" s="169">
        <v>179</v>
      </c>
      <c r="I421" s="169">
        <v>54</v>
      </c>
      <c r="J421" s="169">
        <v>16</v>
      </c>
      <c r="K421" s="169">
        <v>5</v>
      </c>
      <c r="L421" s="169">
        <v>1</v>
      </c>
      <c r="M421" s="169">
        <v>1</v>
      </c>
      <c r="N421" s="169" t="s">
        <v>708</v>
      </c>
      <c r="O421" s="169">
        <v>1</v>
      </c>
      <c r="P421" s="169">
        <v>1</v>
      </c>
      <c r="Q421" s="169">
        <v>2884</v>
      </c>
      <c r="R421" s="169"/>
    </row>
    <row r="422" spans="1:18" hidden="1">
      <c r="A422" s="169" t="s">
        <v>707</v>
      </c>
      <c r="B422" s="169" t="s">
        <v>705</v>
      </c>
      <c r="C422" s="169" t="s">
        <v>679</v>
      </c>
      <c r="D422" s="169">
        <v>2</v>
      </c>
      <c r="E422" s="169">
        <v>22</v>
      </c>
      <c r="F422" s="169">
        <v>26</v>
      </c>
      <c r="G422" s="169">
        <v>11</v>
      </c>
      <c r="H422" s="169">
        <v>3</v>
      </c>
      <c r="I422" s="169" t="s">
        <v>708</v>
      </c>
      <c r="J422" s="169">
        <v>1</v>
      </c>
      <c r="K422" s="169">
        <v>1</v>
      </c>
      <c r="L422" s="169" t="s">
        <v>708</v>
      </c>
      <c r="M422" s="169" t="s">
        <v>708</v>
      </c>
      <c r="N422" s="169" t="s">
        <v>708</v>
      </c>
      <c r="O422" s="169" t="s">
        <v>708</v>
      </c>
      <c r="P422" s="169" t="s">
        <v>708</v>
      </c>
      <c r="Q422" s="169">
        <v>66</v>
      </c>
      <c r="R422" s="169"/>
    </row>
    <row r="423" spans="1:18" hidden="1">
      <c r="A423" s="169" t="s">
        <v>707</v>
      </c>
      <c r="B423" s="169" t="s">
        <v>705</v>
      </c>
      <c r="C423" s="169" t="s">
        <v>680</v>
      </c>
      <c r="D423" s="169">
        <v>4</v>
      </c>
      <c r="E423" s="169">
        <v>12</v>
      </c>
      <c r="F423" s="169">
        <v>14</v>
      </c>
      <c r="G423" s="169">
        <v>8</v>
      </c>
      <c r="H423" s="169">
        <v>4</v>
      </c>
      <c r="I423" s="169">
        <v>1</v>
      </c>
      <c r="J423" s="169" t="s">
        <v>708</v>
      </c>
      <c r="K423" s="169" t="s">
        <v>708</v>
      </c>
      <c r="L423" s="169" t="s">
        <v>708</v>
      </c>
      <c r="M423" s="169" t="s">
        <v>708</v>
      </c>
      <c r="N423" s="169" t="s">
        <v>708</v>
      </c>
      <c r="O423" s="169" t="s">
        <v>708</v>
      </c>
      <c r="P423" s="169" t="s">
        <v>708</v>
      </c>
      <c r="Q423" s="169">
        <v>43</v>
      </c>
      <c r="R423" s="169"/>
    </row>
    <row r="424" spans="1:18" hidden="1">
      <c r="A424" s="169" t="s">
        <v>707</v>
      </c>
      <c r="B424" s="169" t="s">
        <v>705</v>
      </c>
      <c r="C424" s="169" t="s">
        <v>681</v>
      </c>
      <c r="D424" s="169">
        <v>4</v>
      </c>
      <c r="E424" s="169">
        <v>40</v>
      </c>
      <c r="F424" s="169">
        <v>46</v>
      </c>
      <c r="G424" s="169">
        <v>14</v>
      </c>
      <c r="H424" s="169">
        <v>8</v>
      </c>
      <c r="I424" s="169">
        <v>3</v>
      </c>
      <c r="J424" s="169" t="s">
        <v>708</v>
      </c>
      <c r="K424" s="169" t="s">
        <v>708</v>
      </c>
      <c r="L424" s="169" t="s">
        <v>708</v>
      </c>
      <c r="M424" s="169" t="s">
        <v>708</v>
      </c>
      <c r="N424" s="169" t="s">
        <v>708</v>
      </c>
      <c r="O424" s="169" t="s">
        <v>708</v>
      </c>
      <c r="P424" s="169">
        <v>1</v>
      </c>
      <c r="Q424" s="169">
        <v>116</v>
      </c>
      <c r="R424" s="169"/>
    </row>
    <row r="425" spans="1:18" hidden="1">
      <c r="A425" s="169" t="s">
        <v>707</v>
      </c>
      <c r="B425" s="169" t="s">
        <v>705</v>
      </c>
      <c r="C425" s="169" t="s">
        <v>682</v>
      </c>
      <c r="D425" s="169">
        <v>4</v>
      </c>
      <c r="E425" s="169">
        <v>24</v>
      </c>
      <c r="F425" s="169">
        <v>37</v>
      </c>
      <c r="G425" s="169">
        <v>14</v>
      </c>
      <c r="H425" s="169">
        <v>12</v>
      </c>
      <c r="I425" s="169">
        <v>1</v>
      </c>
      <c r="J425" s="169" t="s">
        <v>708</v>
      </c>
      <c r="K425" s="169" t="s">
        <v>708</v>
      </c>
      <c r="L425" s="169" t="s">
        <v>708</v>
      </c>
      <c r="M425" s="169" t="s">
        <v>708</v>
      </c>
      <c r="N425" s="169" t="s">
        <v>708</v>
      </c>
      <c r="O425" s="169" t="s">
        <v>708</v>
      </c>
      <c r="P425" s="169" t="s">
        <v>708</v>
      </c>
      <c r="Q425" s="169">
        <v>92</v>
      </c>
      <c r="R425" s="169"/>
    </row>
    <row r="426" spans="1:18" hidden="1">
      <c r="A426" s="169" t="s">
        <v>707</v>
      </c>
      <c r="B426" s="169" t="s">
        <v>705</v>
      </c>
      <c r="C426" s="169" t="s">
        <v>683</v>
      </c>
      <c r="D426" s="169" t="s">
        <v>708</v>
      </c>
      <c r="E426" s="169">
        <v>16</v>
      </c>
      <c r="F426" s="169">
        <v>22</v>
      </c>
      <c r="G426" s="169">
        <v>10</v>
      </c>
      <c r="H426" s="169">
        <v>4</v>
      </c>
      <c r="I426" s="169">
        <v>1</v>
      </c>
      <c r="J426" s="169">
        <v>1</v>
      </c>
      <c r="K426" s="169" t="s">
        <v>708</v>
      </c>
      <c r="L426" s="169" t="s">
        <v>708</v>
      </c>
      <c r="M426" s="169" t="s">
        <v>708</v>
      </c>
      <c r="N426" s="169" t="s">
        <v>708</v>
      </c>
      <c r="O426" s="169" t="s">
        <v>708</v>
      </c>
      <c r="P426" s="169" t="s">
        <v>708</v>
      </c>
      <c r="Q426" s="169">
        <v>54</v>
      </c>
      <c r="R426" s="169"/>
    </row>
    <row r="427" spans="1:18" hidden="1">
      <c r="A427" s="169" t="s">
        <v>707</v>
      </c>
      <c r="B427" s="169" t="s">
        <v>705</v>
      </c>
      <c r="C427" s="169" t="s">
        <v>684</v>
      </c>
      <c r="D427" s="169" t="s">
        <v>708</v>
      </c>
      <c r="E427" s="169">
        <v>9</v>
      </c>
      <c r="F427" s="169">
        <v>17</v>
      </c>
      <c r="G427" s="169">
        <v>7</v>
      </c>
      <c r="H427" s="169" t="s">
        <v>708</v>
      </c>
      <c r="I427" s="169" t="s">
        <v>708</v>
      </c>
      <c r="J427" s="169" t="s">
        <v>708</v>
      </c>
      <c r="K427" s="169" t="s">
        <v>708</v>
      </c>
      <c r="L427" s="169" t="s">
        <v>708</v>
      </c>
      <c r="M427" s="169" t="s">
        <v>708</v>
      </c>
      <c r="N427" s="169" t="s">
        <v>708</v>
      </c>
      <c r="O427" s="169" t="s">
        <v>708</v>
      </c>
      <c r="P427" s="169" t="s">
        <v>708</v>
      </c>
      <c r="Q427" s="169">
        <v>33</v>
      </c>
      <c r="R427" s="169"/>
    </row>
    <row r="428" spans="1:18" hidden="1">
      <c r="A428" s="169" t="s">
        <v>707</v>
      </c>
      <c r="B428" s="169" t="s">
        <v>705</v>
      </c>
      <c r="C428" s="169" t="s">
        <v>685</v>
      </c>
      <c r="D428" s="169">
        <v>186</v>
      </c>
      <c r="E428" s="169">
        <v>1405</v>
      </c>
      <c r="F428" s="169">
        <v>1741</v>
      </c>
      <c r="G428" s="169">
        <v>615</v>
      </c>
      <c r="H428" s="169">
        <v>238</v>
      </c>
      <c r="I428" s="169">
        <v>84</v>
      </c>
      <c r="J428" s="169">
        <v>25</v>
      </c>
      <c r="K428" s="169">
        <v>5</v>
      </c>
      <c r="L428" s="169">
        <v>3</v>
      </c>
      <c r="M428" s="169">
        <v>2</v>
      </c>
      <c r="N428" s="169" t="s">
        <v>708</v>
      </c>
      <c r="O428" s="169" t="s">
        <v>708</v>
      </c>
      <c r="P428" s="169" t="s">
        <v>708</v>
      </c>
      <c r="Q428" s="169">
        <v>4304</v>
      </c>
      <c r="R428" s="169"/>
    </row>
    <row r="429" spans="1:18" hidden="1">
      <c r="A429" s="169" t="s">
        <v>707</v>
      </c>
      <c r="B429" s="169" t="s">
        <v>705</v>
      </c>
      <c r="C429" s="169" t="s">
        <v>686</v>
      </c>
      <c r="D429" s="169">
        <v>3</v>
      </c>
      <c r="E429" s="169">
        <v>73</v>
      </c>
      <c r="F429" s="169">
        <v>106</v>
      </c>
      <c r="G429" s="169">
        <v>50</v>
      </c>
      <c r="H429" s="169">
        <v>18</v>
      </c>
      <c r="I429" s="169">
        <v>5</v>
      </c>
      <c r="J429" s="169">
        <v>2</v>
      </c>
      <c r="K429" s="169" t="s">
        <v>708</v>
      </c>
      <c r="L429" s="169">
        <v>1</v>
      </c>
      <c r="M429" s="169" t="s">
        <v>708</v>
      </c>
      <c r="N429" s="169" t="s">
        <v>708</v>
      </c>
      <c r="O429" s="169" t="s">
        <v>708</v>
      </c>
      <c r="P429" s="169" t="s">
        <v>708</v>
      </c>
      <c r="Q429" s="169">
        <v>258</v>
      </c>
      <c r="R429" s="169"/>
    </row>
    <row r="430" spans="1:18" hidden="1">
      <c r="A430" s="169" t="s">
        <v>707</v>
      </c>
      <c r="B430" s="169" t="s">
        <v>705</v>
      </c>
      <c r="C430" s="169" t="s">
        <v>687</v>
      </c>
      <c r="D430" s="169">
        <v>12</v>
      </c>
      <c r="E430" s="169">
        <v>120</v>
      </c>
      <c r="F430" s="169">
        <v>132</v>
      </c>
      <c r="G430" s="169">
        <v>80</v>
      </c>
      <c r="H430" s="169">
        <v>33</v>
      </c>
      <c r="I430" s="169">
        <v>15</v>
      </c>
      <c r="J430" s="169">
        <v>5</v>
      </c>
      <c r="K430" s="169">
        <v>1</v>
      </c>
      <c r="L430" s="169" t="s">
        <v>708</v>
      </c>
      <c r="M430" s="169" t="s">
        <v>708</v>
      </c>
      <c r="N430" s="169" t="s">
        <v>708</v>
      </c>
      <c r="O430" s="169" t="s">
        <v>708</v>
      </c>
      <c r="P430" s="169">
        <v>1</v>
      </c>
      <c r="Q430" s="169">
        <v>399</v>
      </c>
      <c r="R430" s="169"/>
    </row>
    <row r="431" spans="1:18" hidden="1">
      <c r="A431" s="169" t="s">
        <v>707</v>
      </c>
      <c r="B431" s="169" t="s">
        <v>705</v>
      </c>
      <c r="C431" s="169" t="s">
        <v>688</v>
      </c>
      <c r="D431" s="169">
        <v>4</v>
      </c>
      <c r="E431" s="169">
        <v>19</v>
      </c>
      <c r="F431" s="169">
        <v>29</v>
      </c>
      <c r="G431" s="169">
        <v>12</v>
      </c>
      <c r="H431" s="169">
        <v>4</v>
      </c>
      <c r="I431" s="169">
        <v>1</v>
      </c>
      <c r="J431" s="169">
        <v>1</v>
      </c>
      <c r="K431" s="169" t="s">
        <v>708</v>
      </c>
      <c r="L431" s="169">
        <v>1</v>
      </c>
      <c r="M431" s="169" t="s">
        <v>708</v>
      </c>
      <c r="N431" s="169" t="s">
        <v>708</v>
      </c>
      <c r="O431" s="169" t="s">
        <v>708</v>
      </c>
      <c r="P431" s="169" t="s">
        <v>708</v>
      </c>
      <c r="Q431" s="169">
        <v>71</v>
      </c>
      <c r="R431" s="169"/>
    </row>
    <row r="432" spans="1:18" hidden="1">
      <c r="A432" s="169" t="s">
        <v>707</v>
      </c>
      <c r="B432" s="169" t="s">
        <v>705</v>
      </c>
      <c r="C432" s="169" t="s">
        <v>689</v>
      </c>
      <c r="D432" s="169">
        <v>8</v>
      </c>
      <c r="E432" s="169">
        <v>77</v>
      </c>
      <c r="F432" s="169">
        <v>111</v>
      </c>
      <c r="G432" s="169">
        <v>49</v>
      </c>
      <c r="H432" s="169">
        <v>22</v>
      </c>
      <c r="I432" s="169">
        <v>2</v>
      </c>
      <c r="J432" s="169">
        <v>4</v>
      </c>
      <c r="K432" s="169">
        <v>2</v>
      </c>
      <c r="L432" s="169">
        <v>1</v>
      </c>
      <c r="M432" s="169" t="s">
        <v>708</v>
      </c>
      <c r="N432" s="169" t="s">
        <v>708</v>
      </c>
      <c r="O432" s="169" t="s">
        <v>708</v>
      </c>
      <c r="P432" s="169" t="s">
        <v>708</v>
      </c>
      <c r="Q432" s="169">
        <v>276</v>
      </c>
      <c r="R432" s="169"/>
    </row>
    <row r="433" spans="1:18" hidden="1">
      <c r="A433" s="169" t="s">
        <v>707</v>
      </c>
      <c r="B433" s="169" t="s">
        <v>705</v>
      </c>
      <c r="C433" s="169" t="s">
        <v>690</v>
      </c>
      <c r="D433" s="169">
        <v>1</v>
      </c>
      <c r="E433" s="169">
        <v>21</v>
      </c>
      <c r="F433" s="169">
        <v>15</v>
      </c>
      <c r="G433" s="169">
        <v>12</v>
      </c>
      <c r="H433" s="169">
        <v>7</v>
      </c>
      <c r="I433" s="169" t="s">
        <v>708</v>
      </c>
      <c r="J433" s="169" t="s">
        <v>708</v>
      </c>
      <c r="K433" s="169" t="s">
        <v>708</v>
      </c>
      <c r="L433" s="169" t="s">
        <v>708</v>
      </c>
      <c r="M433" s="169" t="s">
        <v>708</v>
      </c>
      <c r="N433" s="169" t="s">
        <v>708</v>
      </c>
      <c r="O433" s="169" t="s">
        <v>708</v>
      </c>
      <c r="P433" s="169" t="s">
        <v>708</v>
      </c>
      <c r="Q433" s="169">
        <v>56</v>
      </c>
      <c r="R433" s="169"/>
    </row>
    <row r="434" spans="1:18" hidden="1">
      <c r="A434" s="169" t="s">
        <v>707</v>
      </c>
      <c r="B434" s="169" t="s">
        <v>705</v>
      </c>
      <c r="C434" s="169" t="s">
        <v>691</v>
      </c>
      <c r="D434" s="169">
        <v>98</v>
      </c>
      <c r="E434" s="169">
        <v>695</v>
      </c>
      <c r="F434" s="169">
        <v>1032</v>
      </c>
      <c r="G434" s="169">
        <v>436</v>
      </c>
      <c r="H434" s="169">
        <v>147</v>
      </c>
      <c r="I434" s="169">
        <v>36</v>
      </c>
      <c r="J434" s="169">
        <v>17</v>
      </c>
      <c r="K434" s="169">
        <v>10</v>
      </c>
      <c r="L434" s="169">
        <v>2</v>
      </c>
      <c r="M434" s="169">
        <v>3</v>
      </c>
      <c r="N434" s="169" t="s">
        <v>708</v>
      </c>
      <c r="O434" s="169" t="s">
        <v>708</v>
      </c>
      <c r="P434" s="169" t="s">
        <v>708</v>
      </c>
      <c r="Q434" s="169">
        <v>2476</v>
      </c>
      <c r="R434" s="169"/>
    </row>
    <row r="435" spans="1:18" hidden="1">
      <c r="A435" s="169" t="s">
        <v>707</v>
      </c>
      <c r="B435" s="169" t="s">
        <v>705</v>
      </c>
      <c r="C435" s="169" t="s">
        <v>692</v>
      </c>
      <c r="D435" s="169">
        <v>1</v>
      </c>
      <c r="E435" s="169">
        <v>24</v>
      </c>
      <c r="F435" s="169">
        <v>41</v>
      </c>
      <c r="G435" s="169">
        <v>22</v>
      </c>
      <c r="H435" s="169">
        <v>8</v>
      </c>
      <c r="I435" s="169">
        <v>4</v>
      </c>
      <c r="J435" s="169">
        <v>2</v>
      </c>
      <c r="K435" s="169" t="s">
        <v>708</v>
      </c>
      <c r="L435" s="169">
        <v>1</v>
      </c>
      <c r="M435" s="169" t="s">
        <v>708</v>
      </c>
      <c r="N435" s="169" t="s">
        <v>708</v>
      </c>
      <c r="O435" s="169" t="s">
        <v>708</v>
      </c>
      <c r="P435" s="169" t="s">
        <v>708</v>
      </c>
      <c r="Q435" s="169">
        <v>103</v>
      </c>
      <c r="R435" s="169"/>
    </row>
    <row r="436" spans="1:18" hidden="1">
      <c r="A436" s="169" t="s">
        <v>707</v>
      </c>
      <c r="B436" s="169" t="s">
        <v>705</v>
      </c>
      <c r="C436" s="169" t="s">
        <v>693</v>
      </c>
      <c r="D436" s="169">
        <v>4</v>
      </c>
      <c r="E436" s="169">
        <v>33</v>
      </c>
      <c r="F436" s="169">
        <v>51</v>
      </c>
      <c r="G436" s="169">
        <v>33</v>
      </c>
      <c r="H436" s="169">
        <v>6</v>
      </c>
      <c r="I436" s="169">
        <v>7</v>
      </c>
      <c r="J436" s="169">
        <v>1</v>
      </c>
      <c r="K436" s="169" t="s">
        <v>708</v>
      </c>
      <c r="L436" s="169" t="s">
        <v>708</v>
      </c>
      <c r="M436" s="169" t="s">
        <v>708</v>
      </c>
      <c r="N436" s="169" t="s">
        <v>708</v>
      </c>
      <c r="O436" s="169" t="s">
        <v>708</v>
      </c>
      <c r="P436" s="169" t="s">
        <v>708</v>
      </c>
      <c r="Q436" s="169">
        <v>135</v>
      </c>
      <c r="R436" s="169"/>
    </row>
    <row r="437" spans="1:18" hidden="1">
      <c r="A437" s="169" t="s">
        <v>707</v>
      </c>
      <c r="B437" s="169" t="s">
        <v>705</v>
      </c>
      <c r="C437" s="169" t="s">
        <v>694</v>
      </c>
      <c r="D437" s="169">
        <v>81</v>
      </c>
      <c r="E437" s="169">
        <v>1037</v>
      </c>
      <c r="F437" s="169">
        <v>1632</v>
      </c>
      <c r="G437" s="169">
        <v>669</v>
      </c>
      <c r="H437" s="169">
        <v>205</v>
      </c>
      <c r="I437" s="169">
        <v>73</v>
      </c>
      <c r="J437" s="169">
        <v>21</v>
      </c>
      <c r="K437" s="169">
        <v>9</v>
      </c>
      <c r="L437" s="169">
        <v>8</v>
      </c>
      <c r="M437" s="169">
        <v>3</v>
      </c>
      <c r="N437" s="169">
        <v>2</v>
      </c>
      <c r="O437" s="169" t="s">
        <v>708</v>
      </c>
      <c r="P437" s="169" t="s">
        <v>708</v>
      </c>
      <c r="Q437" s="169">
        <v>3740</v>
      </c>
      <c r="R437" s="169"/>
    </row>
    <row r="438" spans="1:18" hidden="1">
      <c r="A438" s="169" t="s">
        <v>707</v>
      </c>
      <c r="B438" s="169" t="s">
        <v>705</v>
      </c>
      <c r="C438" s="169" t="s">
        <v>695</v>
      </c>
      <c r="D438" s="169">
        <v>1</v>
      </c>
      <c r="E438" s="169">
        <v>10</v>
      </c>
      <c r="F438" s="169">
        <v>22</v>
      </c>
      <c r="G438" s="169">
        <v>14</v>
      </c>
      <c r="H438" s="169">
        <v>8</v>
      </c>
      <c r="I438" s="169">
        <v>3</v>
      </c>
      <c r="J438" s="169">
        <v>1</v>
      </c>
      <c r="K438" s="169" t="s">
        <v>708</v>
      </c>
      <c r="L438" s="169" t="s">
        <v>708</v>
      </c>
      <c r="M438" s="169">
        <v>1</v>
      </c>
      <c r="N438" s="169" t="s">
        <v>708</v>
      </c>
      <c r="O438" s="169" t="s">
        <v>708</v>
      </c>
      <c r="P438" s="169" t="s">
        <v>708</v>
      </c>
      <c r="Q438" s="169">
        <v>60</v>
      </c>
      <c r="R438" s="169"/>
    </row>
    <row r="439" spans="1:18" hidden="1">
      <c r="A439" s="169" t="s">
        <v>707</v>
      </c>
      <c r="B439" s="169" t="s">
        <v>705</v>
      </c>
      <c r="C439" s="169" t="s">
        <v>696</v>
      </c>
      <c r="D439" s="169">
        <v>1</v>
      </c>
      <c r="E439" s="169">
        <v>39</v>
      </c>
      <c r="F439" s="169">
        <v>30</v>
      </c>
      <c r="G439" s="169">
        <v>31</v>
      </c>
      <c r="H439" s="169">
        <v>5</v>
      </c>
      <c r="I439" s="169">
        <v>9</v>
      </c>
      <c r="J439" s="169">
        <v>1</v>
      </c>
      <c r="K439" s="169" t="s">
        <v>708</v>
      </c>
      <c r="L439" s="169" t="s">
        <v>708</v>
      </c>
      <c r="M439" s="169" t="s">
        <v>708</v>
      </c>
      <c r="N439" s="169" t="s">
        <v>708</v>
      </c>
      <c r="O439" s="169" t="s">
        <v>708</v>
      </c>
      <c r="P439" s="169" t="s">
        <v>708</v>
      </c>
      <c r="Q439" s="169">
        <v>116</v>
      </c>
      <c r="R439" s="169"/>
    </row>
    <row r="440" spans="1:18" hidden="1">
      <c r="A440" s="169" t="s">
        <v>707</v>
      </c>
      <c r="B440" s="169" t="s">
        <v>705</v>
      </c>
      <c r="C440" s="169" t="s">
        <v>697</v>
      </c>
      <c r="D440" s="169">
        <v>4</v>
      </c>
      <c r="E440" s="169">
        <v>38</v>
      </c>
      <c r="F440" s="169">
        <v>28</v>
      </c>
      <c r="G440" s="169">
        <v>12</v>
      </c>
      <c r="H440" s="169">
        <v>3</v>
      </c>
      <c r="I440" s="169">
        <v>2</v>
      </c>
      <c r="J440" s="169" t="s">
        <v>708</v>
      </c>
      <c r="K440" s="169" t="s">
        <v>708</v>
      </c>
      <c r="L440" s="169" t="s">
        <v>708</v>
      </c>
      <c r="M440" s="169" t="s">
        <v>708</v>
      </c>
      <c r="N440" s="169" t="s">
        <v>708</v>
      </c>
      <c r="O440" s="169" t="s">
        <v>708</v>
      </c>
      <c r="P440" s="169" t="s">
        <v>708</v>
      </c>
      <c r="Q440" s="169">
        <v>87</v>
      </c>
      <c r="R440" s="169"/>
    </row>
    <row r="441" spans="1:18" hidden="1">
      <c r="A441" s="169" t="s">
        <v>707</v>
      </c>
      <c r="B441" s="169" t="s">
        <v>705</v>
      </c>
      <c r="C441" s="169" t="s">
        <v>698</v>
      </c>
      <c r="D441" s="169">
        <v>2</v>
      </c>
      <c r="E441" s="169">
        <v>19</v>
      </c>
      <c r="F441" s="169">
        <v>38</v>
      </c>
      <c r="G441" s="169">
        <v>24</v>
      </c>
      <c r="H441" s="169">
        <v>7</v>
      </c>
      <c r="I441" s="169">
        <v>1</v>
      </c>
      <c r="J441" s="169">
        <v>1</v>
      </c>
      <c r="K441" s="169" t="s">
        <v>708</v>
      </c>
      <c r="L441" s="169" t="s">
        <v>708</v>
      </c>
      <c r="M441" s="169" t="s">
        <v>708</v>
      </c>
      <c r="N441" s="169" t="s">
        <v>708</v>
      </c>
      <c r="O441" s="169" t="s">
        <v>708</v>
      </c>
      <c r="P441" s="169" t="s">
        <v>708</v>
      </c>
      <c r="Q441" s="169">
        <v>92</v>
      </c>
      <c r="R441" s="169"/>
    </row>
    <row r="442" spans="1:18" hidden="1">
      <c r="A442" s="169" t="s">
        <v>707</v>
      </c>
      <c r="B442" s="169" t="s">
        <v>705</v>
      </c>
      <c r="C442" s="169" t="s">
        <v>699</v>
      </c>
      <c r="D442" s="169">
        <v>67</v>
      </c>
      <c r="E442" s="169">
        <v>825</v>
      </c>
      <c r="F442" s="169">
        <v>1216</v>
      </c>
      <c r="G442" s="169">
        <v>433</v>
      </c>
      <c r="H442" s="169">
        <v>180</v>
      </c>
      <c r="I442" s="169">
        <v>73</v>
      </c>
      <c r="J442" s="169">
        <v>24</v>
      </c>
      <c r="K442" s="169">
        <v>10</v>
      </c>
      <c r="L442" s="169">
        <v>5</v>
      </c>
      <c r="M442" s="169">
        <v>1</v>
      </c>
      <c r="N442" s="169">
        <v>1</v>
      </c>
      <c r="O442" s="169">
        <v>1</v>
      </c>
      <c r="P442" s="169">
        <v>1</v>
      </c>
      <c r="Q442" s="169">
        <v>2837</v>
      </c>
      <c r="R442" s="169"/>
    </row>
    <row r="443" spans="1:18" hidden="1">
      <c r="A443" s="169" t="s">
        <v>707</v>
      </c>
      <c r="B443" s="169" t="s">
        <v>705</v>
      </c>
      <c r="C443" s="169" t="s">
        <v>700</v>
      </c>
      <c r="D443" s="169">
        <v>7</v>
      </c>
      <c r="E443" s="169">
        <v>30</v>
      </c>
      <c r="F443" s="169">
        <v>22</v>
      </c>
      <c r="G443" s="169">
        <v>12</v>
      </c>
      <c r="H443" s="169">
        <v>2</v>
      </c>
      <c r="I443" s="169">
        <v>2</v>
      </c>
      <c r="J443" s="169">
        <v>1</v>
      </c>
      <c r="K443" s="169" t="s">
        <v>708</v>
      </c>
      <c r="L443" s="169" t="s">
        <v>708</v>
      </c>
      <c r="M443" s="169">
        <v>1</v>
      </c>
      <c r="N443" s="169" t="s">
        <v>708</v>
      </c>
      <c r="O443" s="169" t="s">
        <v>708</v>
      </c>
      <c r="P443" s="169" t="s">
        <v>708</v>
      </c>
      <c r="Q443" s="169">
        <v>77</v>
      </c>
      <c r="R443" s="169"/>
    </row>
    <row r="444" spans="1:18" hidden="1">
      <c r="A444" s="169" t="s">
        <v>707</v>
      </c>
      <c r="B444" s="169" t="s">
        <v>705</v>
      </c>
      <c r="C444" s="169" t="s">
        <v>701</v>
      </c>
      <c r="D444" s="169">
        <v>1</v>
      </c>
      <c r="E444" s="169">
        <v>22</v>
      </c>
      <c r="F444" s="169">
        <v>37</v>
      </c>
      <c r="G444" s="169">
        <v>19</v>
      </c>
      <c r="H444" s="169">
        <v>14</v>
      </c>
      <c r="I444" s="169">
        <v>5</v>
      </c>
      <c r="J444" s="169">
        <v>3</v>
      </c>
      <c r="K444" s="169" t="s">
        <v>708</v>
      </c>
      <c r="L444" s="169" t="s">
        <v>708</v>
      </c>
      <c r="M444" s="169" t="s">
        <v>708</v>
      </c>
      <c r="N444" s="169" t="s">
        <v>708</v>
      </c>
      <c r="O444" s="169" t="s">
        <v>708</v>
      </c>
      <c r="P444" s="169" t="s">
        <v>708</v>
      </c>
      <c r="Q444" s="169">
        <v>101</v>
      </c>
      <c r="R444" s="169"/>
    </row>
    <row r="445" spans="1:18" hidden="1">
      <c r="A445" s="169" t="s">
        <v>707</v>
      </c>
      <c r="B445" s="169" t="s">
        <v>705</v>
      </c>
      <c r="C445" s="169" t="s">
        <v>649</v>
      </c>
      <c r="D445" s="169">
        <v>902</v>
      </c>
      <c r="E445" s="169">
        <v>8568</v>
      </c>
      <c r="F445" s="169">
        <v>11872</v>
      </c>
      <c r="G445" s="169">
        <v>4926</v>
      </c>
      <c r="H445" s="169">
        <v>1862</v>
      </c>
      <c r="I445" s="169">
        <v>653</v>
      </c>
      <c r="J445" s="169">
        <v>222</v>
      </c>
      <c r="K445" s="169">
        <v>78</v>
      </c>
      <c r="L445" s="169">
        <v>38</v>
      </c>
      <c r="M445" s="169">
        <v>21</v>
      </c>
      <c r="N445" s="169">
        <v>8</v>
      </c>
      <c r="O445" s="169">
        <v>5</v>
      </c>
      <c r="P445" s="169">
        <v>7</v>
      </c>
      <c r="Q445" s="169">
        <v>29162</v>
      </c>
      <c r="R445" s="169"/>
    </row>
    <row r="446" spans="1:18" hidden="1">
      <c r="A446" s="169" t="s">
        <v>707</v>
      </c>
      <c r="B446" s="169" t="s">
        <v>706</v>
      </c>
      <c r="C446" s="169" t="s">
        <v>656</v>
      </c>
      <c r="D446" s="169">
        <v>25</v>
      </c>
      <c r="E446" s="169">
        <v>147</v>
      </c>
      <c r="F446" s="169">
        <v>106</v>
      </c>
      <c r="G446" s="169">
        <v>29</v>
      </c>
      <c r="H446" s="169">
        <v>18</v>
      </c>
      <c r="I446" s="169">
        <v>4</v>
      </c>
      <c r="J446" s="169">
        <v>3</v>
      </c>
      <c r="K446" s="169" t="s">
        <v>708</v>
      </c>
      <c r="L446" s="169" t="s">
        <v>708</v>
      </c>
      <c r="M446" s="169" t="s">
        <v>708</v>
      </c>
      <c r="N446" s="169" t="s">
        <v>708</v>
      </c>
      <c r="O446" s="169">
        <v>332</v>
      </c>
      <c r="R446" s="169"/>
    </row>
    <row r="447" spans="1:18" hidden="1">
      <c r="A447" s="169" t="s">
        <v>707</v>
      </c>
      <c r="B447" s="169" t="s">
        <v>706</v>
      </c>
      <c r="C447" s="169" t="s">
        <v>288</v>
      </c>
      <c r="D447" s="169">
        <v>562</v>
      </c>
      <c r="E447" s="169">
        <v>2906</v>
      </c>
      <c r="F447" s="169">
        <v>2532</v>
      </c>
      <c r="G447" s="169">
        <v>840</v>
      </c>
      <c r="H447" s="169">
        <v>284</v>
      </c>
      <c r="I447" s="169">
        <v>81</v>
      </c>
      <c r="J447" s="169">
        <v>31</v>
      </c>
      <c r="K447" s="169">
        <v>15</v>
      </c>
      <c r="L447" s="169">
        <v>5</v>
      </c>
      <c r="M447" s="169">
        <v>2</v>
      </c>
      <c r="N447" s="169" t="s">
        <v>708</v>
      </c>
      <c r="O447" s="169">
        <v>7258</v>
      </c>
      <c r="R447" s="169"/>
    </row>
    <row r="448" spans="1:18" hidden="1">
      <c r="A448" s="169" t="s">
        <v>707</v>
      </c>
      <c r="B448" s="169" t="s">
        <v>706</v>
      </c>
      <c r="C448" s="169" t="s">
        <v>657</v>
      </c>
      <c r="D448" s="169">
        <v>8</v>
      </c>
      <c r="E448" s="169">
        <v>54</v>
      </c>
      <c r="F448" s="169">
        <v>43</v>
      </c>
      <c r="G448" s="169">
        <v>16</v>
      </c>
      <c r="H448" s="169">
        <v>6</v>
      </c>
      <c r="I448" s="169" t="s">
        <v>708</v>
      </c>
      <c r="J448" s="169" t="s">
        <v>708</v>
      </c>
      <c r="K448" s="169" t="s">
        <v>708</v>
      </c>
      <c r="L448" s="169" t="s">
        <v>708</v>
      </c>
      <c r="M448" s="169" t="s">
        <v>708</v>
      </c>
      <c r="N448" s="169" t="s">
        <v>708</v>
      </c>
      <c r="O448" s="169">
        <v>127</v>
      </c>
      <c r="R448" s="169"/>
    </row>
    <row r="449" spans="1:18" hidden="1">
      <c r="A449" s="169" t="s">
        <v>707</v>
      </c>
      <c r="B449" s="169" t="s">
        <v>706</v>
      </c>
      <c r="C449" s="169" t="s">
        <v>658</v>
      </c>
      <c r="D449" s="169" t="s">
        <v>708</v>
      </c>
      <c r="E449" s="169">
        <v>3</v>
      </c>
      <c r="F449" s="169">
        <v>1</v>
      </c>
      <c r="G449" s="169" t="s">
        <v>708</v>
      </c>
      <c r="H449" s="169" t="s">
        <v>708</v>
      </c>
      <c r="I449" s="169" t="s">
        <v>708</v>
      </c>
      <c r="J449" s="169" t="s">
        <v>708</v>
      </c>
      <c r="K449" s="169" t="s">
        <v>708</v>
      </c>
      <c r="L449" s="169" t="s">
        <v>708</v>
      </c>
      <c r="M449" s="169" t="s">
        <v>708</v>
      </c>
      <c r="N449" s="169" t="s">
        <v>708</v>
      </c>
      <c r="O449" s="169">
        <v>4</v>
      </c>
      <c r="R449" s="169"/>
    </row>
    <row r="450" spans="1:18" hidden="1">
      <c r="A450" s="169" t="s">
        <v>707</v>
      </c>
      <c r="B450" s="169" t="s">
        <v>706</v>
      </c>
      <c r="C450" s="169" t="s">
        <v>704</v>
      </c>
      <c r="D450" s="169">
        <v>81</v>
      </c>
      <c r="E450" s="169">
        <v>145</v>
      </c>
      <c r="F450" s="169">
        <v>45</v>
      </c>
      <c r="G450" s="169">
        <v>6</v>
      </c>
      <c r="H450" s="169">
        <v>1</v>
      </c>
      <c r="I450" s="169" t="s">
        <v>708</v>
      </c>
      <c r="J450" s="169" t="s">
        <v>708</v>
      </c>
      <c r="K450" s="169" t="s">
        <v>708</v>
      </c>
      <c r="L450" s="169" t="s">
        <v>708</v>
      </c>
      <c r="M450" s="169" t="s">
        <v>708</v>
      </c>
      <c r="N450" s="169" t="s">
        <v>708</v>
      </c>
      <c r="O450" s="169">
        <v>278</v>
      </c>
      <c r="R450" s="169"/>
    </row>
    <row r="451" spans="1:18" hidden="1">
      <c r="A451" s="169" t="s">
        <v>707</v>
      </c>
      <c r="B451" s="169" t="s">
        <v>706</v>
      </c>
      <c r="C451" s="169" t="s">
        <v>660</v>
      </c>
      <c r="D451" s="169">
        <v>11</v>
      </c>
      <c r="E451" s="169">
        <v>89</v>
      </c>
      <c r="F451" s="169">
        <v>60</v>
      </c>
      <c r="G451" s="169">
        <v>15</v>
      </c>
      <c r="H451" s="169">
        <v>4</v>
      </c>
      <c r="I451" s="169" t="s">
        <v>708</v>
      </c>
      <c r="J451" s="169" t="s">
        <v>708</v>
      </c>
      <c r="K451" s="169" t="s">
        <v>708</v>
      </c>
      <c r="L451" s="169" t="s">
        <v>708</v>
      </c>
      <c r="M451" s="169" t="s">
        <v>708</v>
      </c>
      <c r="N451" s="169" t="s">
        <v>708</v>
      </c>
      <c r="O451" s="169">
        <v>179</v>
      </c>
      <c r="R451" s="169"/>
    </row>
    <row r="452" spans="1:18" hidden="1">
      <c r="A452" s="169" t="s">
        <v>707</v>
      </c>
      <c r="B452" s="169" t="s">
        <v>706</v>
      </c>
      <c r="C452" s="169" t="s">
        <v>661</v>
      </c>
      <c r="D452" s="169">
        <v>11</v>
      </c>
      <c r="E452" s="169">
        <v>62</v>
      </c>
      <c r="F452" s="169">
        <v>58</v>
      </c>
      <c r="G452" s="169">
        <v>7</v>
      </c>
      <c r="H452" s="169">
        <v>1</v>
      </c>
      <c r="I452" s="169">
        <v>1</v>
      </c>
      <c r="J452" s="169" t="s">
        <v>708</v>
      </c>
      <c r="K452" s="169" t="s">
        <v>708</v>
      </c>
      <c r="L452" s="169" t="s">
        <v>708</v>
      </c>
      <c r="M452" s="169" t="s">
        <v>708</v>
      </c>
      <c r="N452" s="169" t="s">
        <v>708</v>
      </c>
      <c r="O452" s="169">
        <v>140</v>
      </c>
      <c r="R452" s="169"/>
    </row>
    <row r="453" spans="1:18" hidden="1">
      <c r="A453" s="169" t="s">
        <v>707</v>
      </c>
      <c r="B453" s="169" t="s">
        <v>706</v>
      </c>
      <c r="C453" s="169" t="s">
        <v>662</v>
      </c>
      <c r="D453" s="169">
        <v>15</v>
      </c>
      <c r="E453" s="169">
        <v>43</v>
      </c>
      <c r="F453" s="169">
        <v>34</v>
      </c>
      <c r="G453" s="169">
        <v>7</v>
      </c>
      <c r="H453" s="169">
        <v>5</v>
      </c>
      <c r="I453" s="169">
        <v>2</v>
      </c>
      <c r="J453" s="169" t="s">
        <v>708</v>
      </c>
      <c r="K453" s="169" t="s">
        <v>708</v>
      </c>
      <c r="L453" s="169" t="s">
        <v>708</v>
      </c>
      <c r="M453" s="169" t="s">
        <v>708</v>
      </c>
      <c r="N453" s="169" t="s">
        <v>708</v>
      </c>
      <c r="O453" s="169">
        <v>106</v>
      </c>
      <c r="R453" s="169"/>
    </row>
    <row r="454" spans="1:18" hidden="1">
      <c r="A454" s="169" t="s">
        <v>707</v>
      </c>
      <c r="B454" s="169" t="s">
        <v>706</v>
      </c>
      <c r="C454" s="169" t="s">
        <v>665</v>
      </c>
      <c r="D454" s="169">
        <v>45</v>
      </c>
      <c r="E454" s="169">
        <v>99</v>
      </c>
      <c r="F454" s="169">
        <v>59</v>
      </c>
      <c r="G454" s="169">
        <v>14</v>
      </c>
      <c r="H454" s="169">
        <v>2</v>
      </c>
      <c r="I454" s="169">
        <v>2</v>
      </c>
      <c r="J454" s="169">
        <v>1</v>
      </c>
      <c r="K454" s="169" t="s">
        <v>708</v>
      </c>
      <c r="L454" s="169" t="s">
        <v>708</v>
      </c>
      <c r="M454" s="169" t="s">
        <v>708</v>
      </c>
      <c r="N454" s="169" t="s">
        <v>708</v>
      </c>
      <c r="O454" s="169">
        <v>222</v>
      </c>
      <c r="R454" s="169"/>
    </row>
    <row r="455" spans="1:18" hidden="1">
      <c r="A455" s="169" t="s">
        <v>707</v>
      </c>
      <c r="B455" s="169" t="s">
        <v>706</v>
      </c>
      <c r="C455" s="169" t="s">
        <v>668</v>
      </c>
      <c r="D455" s="169">
        <v>9</v>
      </c>
      <c r="E455" s="169">
        <v>11</v>
      </c>
      <c r="F455" s="169">
        <v>1</v>
      </c>
      <c r="G455" s="169">
        <v>1</v>
      </c>
      <c r="H455" s="169" t="s">
        <v>708</v>
      </c>
      <c r="I455" s="169" t="s">
        <v>708</v>
      </c>
      <c r="J455" s="169" t="s">
        <v>708</v>
      </c>
      <c r="K455" s="169" t="s">
        <v>708</v>
      </c>
      <c r="L455" s="169" t="s">
        <v>708</v>
      </c>
      <c r="M455" s="169" t="s">
        <v>708</v>
      </c>
      <c r="N455" s="169" t="s">
        <v>708</v>
      </c>
      <c r="O455" s="169">
        <v>22</v>
      </c>
      <c r="R455" s="169"/>
    </row>
    <row r="456" spans="1:18" hidden="1">
      <c r="A456" s="169" t="s">
        <v>707</v>
      </c>
      <c r="B456" s="169" t="s">
        <v>706</v>
      </c>
      <c r="C456" s="169" t="s">
        <v>669</v>
      </c>
      <c r="D456" s="169">
        <v>4</v>
      </c>
      <c r="E456" s="169">
        <v>16</v>
      </c>
      <c r="F456" s="169">
        <v>14</v>
      </c>
      <c r="G456" s="169">
        <v>1</v>
      </c>
      <c r="H456" s="169">
        <v>2</v>
      </c>
      <c r="I456" s="169" t="s">
        <v>708</v>
      </c>
      <c r="J456" s="169" t="s">
        <v>708</v>
      </c>
      <c r="K456" s="169" t="s">
        <v>708</v>
      </c>
      <c r="L456" s="169" t="s">
        <v>708</v>
      </c>
      <c r="M456" s="169" t="s">
        <v>708</v>
      </c>
      <c r="N456" s="169" t="s">
        <v>708</v>
      </c>
      <c r="O456" s="169">
        <v>37</v>
      </c>
      <c r="R456" s="169"/>
    </row>
    <row r="457" spans="1:18" hidden="1">
      <c r="A457" s="169" t="s">
        <v>707</v>
      </c>
      <c r="B457" s="169" t="s">
        <v>706</v>
      </c>
      <c r="C457" s="169" t="s">
        <v>670</v>
      </c>
      <c r="D457" s="169">
        <v>35</v>
      </c>
      <c r="E457" s="169">
        <v>55</v>
      </c>
      <c r="F457" s="169">
        <v>15</v>
      </c>
      <c r="G457" s="169">
        <v>3</v>
      </c>
      <c r="H457" s="169" t="s">
        <v>708</v>
      </c>
      <c r="I457" s="169">
        <v>1</v>
      </c>
      <c r="J457" s="169" t="s">
        <v>708</v>
      </c>
      <c r="K457" s="169" t="s">
        <v>708</v>
      </c>
      <c r="L457" s="169" t="s">
        <v>708</v>
      </c>
      <c r="M457" s="169" t="s">
        <v>708</v>
      </c>
      <c r="N457" s="169" t="s">
        <v>708</v>
      </c>
      <c r="O457" s="169">
        <v>109</v>
      </c>
      <c r="R457" s="169"/>
    </row>
    <row r="458" spans="1:18" hidden="1">
      <c r="A458" s="169" t="s">
        <v>707</v>
      </c>
      <c r="B458" s="169" t="s">
        <v>706</v>
      </c>
      <c r="C458" s="169" t="s">
        <v>671</v>
      </c>
      <c r="D458" s="169">
        <v>15</v>
      </c>
      <c r="E458" s="169">
        <v>42</v>
      </c>
      <c r="F458" s="169">
        <v>26</v>
      </c>
      <c r="G458" s="169">
        <v>2</v>
      </c>
      <c r="H458" s="169">
        <v>2</v>
      </c>
      <c r="I458" s="169" t="s">
        <v>708</v>
      </c>
      <c r="J458" s="169" t="s">
        <v>708</v>
      </c>
      <c r="K458" s="169" t="s">
        <v>708</v>
      </c>
      <c r="L458" s="169" t="s">
        <v>708</v>
      </c>
      <c r="M458" s="169" t="s">
        <v>708</v>
      </c>
      <c r="N458" s="169" t="s">
        <v>708</v>
      </c>
      <c r="O458" s="169">
        <v>87</v>
      </c>
      <c r="R458" s="169"/>
    </row>
    <row r="459" spans="1:18" hidden="1">
      <c r="A459" s="169" t="s">
        <v>707</v>
      </c>
      <c r="B459" s="169" t="s">
        <v>706</v>
      </c>
      <c r="C459" s="169" t="s">
        <v>673</v>
      </c>
      <c r="D459" s="169">
        <v>16</v>
      </c>
      <c r="E459" s="169">
        <v>35</v>
      </c>
      <c r="F459" s="169">
        <v>23</v>
      </c>
      <c r="G459" s="169">
        <v>8</v>
      </c>
      <c r="H459" s="169">
        <v>1</v>
      </c>
      <c r="I459" s="169">
        <v>2</v>
      </c>
      <c r="J459" s="169" t="s">
        <v>708</v>
      </c>
      <c r="K459" s="169" t="s">
        <v>708</v>
      </c>
      <c r="L459" s="169" t="s">
        <v>708</v>
      </c>
      <c r="M459" s="169" t="s">
        <v>708</v>
      </c>
      <c r="N459" s="169" t="s">
        <v>708</v>
      </c>
      <c r="O459" s="169">
        <v>85</v>
      </c>
      <c r="R459" s="169"/>
    </row>
    <row r="460" spans="1:18" hidden="1">
      <c r="A460" s="169" t="s">
        <v>707</v>
      </c>
      <c r="B460" s="169" t="s">
        <v>706</v>
      </c>
      <c r="C460" s="169" t="s">
        <v>674</v>
      </c>
      <c r="D460" s="169">
        <v>7</v>
      </c>
      <c r="E460" s="169">
        <v>34</v>
      </c>
      <c r="F460" s="169">
        <v>32</v>
      </c>
      <c r="G460" s="169">
        <v>6</v>
      </c>
      <c r="H460" s="169" t="s">
        <v>708</v>
      </c>
      <c r="I460" s="169" t="s">
        <v>708</v>
      </c>
      <c r="J460" s="169">
        <v>2</v>
      </c>
      <c r="K460" s="169" t="s">
        <v>708</v>
      </c>
      <c r="L460" s="169" t="s">
        <v>708</v>
      </c>
      <c r="M460" s="169" t="s">
        <v>708</v>
      </c>
      <c r="N460" s="169" t="s">
        <v>708</v>
      </c>
      <c r="O460" s="169">
        <v>81</v>
      </c>
      <c r="R460" s="169"/>
    </row>
    <row r="461" spans="1:18" hidden="1">
      <c r="A461" s="169" t="s">
        <v>707</v>
      </c>
      <c r="B461" s="169" t="s">
        <v>706</v>
      </c>
      <c r="C461" s="169" t="s">
        <v>675</v>
      </c>
      <c r="D461" s="169">
        <v>3</v>
      </c>
      <c r="E461" s="169">
        <v>14</v>
      </c>
      <c r="F461" s="169">
        <v>14</v>
      </c>
      <c r="G461" s="169">
        <v>5</v>
      </c>
      <c r="H461" s="169">
        <v>1</v>
      </c>
      <c r="I461" s="169" t="s">
        <v>708</v>
      </c>
      <c r="J461" s="169" t="s">
        <v>708</v>
      </c>
      <c r="K461" s="169" t="s">
        <v>708</v>
      </c>
      <c r="L461" s="169" t="s">
        <v>708</v>
      </c>
      <c r="M461" s="169" t="s">
        <v>708</v>
      </c>
      <c r="N461" s="169" t="s">
        <v>708</v>
      </c>
      <c r="O461" s="169">
        <v>37</v>
      </c>
      <c r="R461" s="169"/>
    </row>
    <row r="462" spans="1:18" hidden="1">
      <c r="A462" s="169" t="s">
        <v>707</v>
      </c>
      <c r="B462" s="169" t="s">
        <v>706</v>
      </c>
      <c r="C462" s="169" t="s">
        <v>682</v>
      </c>
      <c r="D462" s="169">
        <v>21</v>
      </c>
      <c r="E462" s="169">
        <v>48</v>
      </c>
      <c r="F462" s="169">
        <v>36</v>
      </c>
      <c r="G462" s="169">
        <v>8</v>
      </c>
      <c r="H462" s="169">
        <v>3</v>
      </c>
      <c r="I462" s="169">
        <v>1</v>
      </c>
      <c r="J462" s="169" t="s">
        <v>708</v>
      </c>
      <c r="K462" s="169" t="s">
        <v>708</v>
      </c>
      <c r="L462" s="169" t="s">
        <v>708</v>
      </c>
      <c r="M462" s="169" t="s">
        <v>708</v>
      </c>
      <c r="N462" s="169" t="s">
        <v>708</v>
      </c>
      <c r="O462" s="169">
        <v>117</v>
      </c>
      <c r="R462" s="169"/>
    </row>
    <row r="463" spans="1:18" hidden="1">
      <c r="A463" s="169" t="s">
        <v>707</v>
      </c>
      <c r="B463" s="169" t="s">
        <v>706</v>
      </c>
      <c r="C463" s="169" t="s">
        <v>683</v>
      </c>
      <c r="D463" s="169">
        <v>9</v>
      </c>
      <c r="E463" s="169">
        <v>29</v>
      </c>
      <c r="F463" s="169">
        <v>11</v>
      </c>
      <c r="G463" s="169">
        <v>7</v>
      </c>
      <c r="H463" s="169" t="s">
        <v>708</v>
      </c>
      <c r="I463" s="169" t="s">
        <v>708</v>
      </c>
      <c r="J463" s="169" t="s">
        <v>708</v>
      </c>
      <c r="K463" s="169" t="s">
        <v>708</v>
      </c>
      <c r="L463" s="169" t="s">
        <v>708</v>
      </c>
      <c r="M463" s="169" t="s">
        <v>708</v>
      </c>
      <c r="N463" s="169" t="s">
        <v>708</v>
      </c>
      <c r="O463" s="169">
        <v>56</v>
      </c>
      <c r="R463" s="169"/>
    </row>
    <row r="464" spans="1:18" hidden="1">
      <c r="A464" s="169" t="s">
        <v>707</v>
      </c>
      <c r="B464" s="169" t="s">
        <v>706</v>
      </c>
      <c r="C464" s="169" t="s">
        <v>684</v>
      </c>
      <c r="D464" s="169">
        <v>7</v>
      </c>
      <c r="E464" s="169">
        <v>34</v>
      </c>
      <c r="F464" s="169">
        <v>20</v>
      </c>
      <c r="G464" s="169">
        <v>6</v>
      </c>
      <c r="H464" s="169">
        <v>2</v>
      </c>
      <c r="I464" s="169" t="s">
        <v>708</v>
      </c>
      <c r="J464" s="169" t="s">
        <v>708</v>
      </c>
      <c r="K464" s="169" t="s">
        <v>708</v>
      </c>
      <c r="L464" s="169" t="s">
        <v>708</v>
      </c>
      <c r="M464" s="169" t="s">
        <v>708</v>
      </c>
      <c r="N464" s="169" t="s">
        <v>708</v>
      </c>
      <c r="O464" s="169">
        <v>69</v>
      </c>
      <c r="R464" s="169"/>
    </row>
    <row r="465" spans="1:18" hidden="1">
      <c r="A465" s="169" t="s">
        <v>707</v>
      </c>
      <c r="B465" s="169" t="s">
        <v>706</v>
      </c>
      <c r="C465" s="169" t="s">
        <v>685</v>
      </c>
      <c r="D465" s="169">
        <v>678</v>
      </c>
      <c r="E465" s="169">
        <v>657</v>
      </c>
      <c r="F465" s="169">
        <v>338</v>
      </c>
      <c r="G465" s="169">
        <v>74</v>
      </c>
      <c r="H465" s="169">
        <v>21</v>
      </c>
      <c r="I465" s="169">
        <v>4</v>
      </c>
      <c r="J465" s="169">
        <v>1</v>
      </c>
      <c r="K465" s="169">
        <v>1</v>
      </c>
      <c r="L465" s="169" t="s">
        <v>708</v>
      </c>
      <c r="M465" s="169" t="s">
        <v>708</v>
      </c>
      <c r="N465" s="169" t="s">
        <v>708</v>
      </c>
      <c r="O465" s="169">
        <v>1774</v>
      </c>
      <c r="R465" s="169"/>
    </row>
    <row r="466" spans="1:18" hidden="1">
      <c r="A466" s="169" t="s">
        <v>707</v>
      </c>
      <c r="B466" s="169" t="s">
        <v>706</v>
      </c>
      <c r="C466" s="169" t="s">
        <v>686</v>
      </c>
      <c r="D466" s="169">
        <v>16</v>
      </c>
      <c r="E466" s="169">
        <v>50</v>
      </c>
      <c r="F466" s="169">
        <v>39</v>
      </c>
      <c r="G466" s="169">
        <v>6</v>
      </c>
      <c r="H466" s="169">
        <v>1</v>
      </c>
      <c r="I466" s="169" t="s">
        <v>708</v>
      </c>
      <c r="J466" s="169" t="s">
        <v>708</v>
      </c>
      <c r="K466" s="169" t="s">
        <v>708</v>
      </c>
      <c r="L466" s="169" t="s">
        <v>708</v>
      </c>
      <c r="M466" s="169" t="s">
        <v>708</v>
      </c>
      <c r="N466" s="169" t="s">
        <v>708</v>
      </c>
      <c r="O466" s="169">
        <v>112</v>
      </c>
      <c r="R466" s="169"/>
    </row>
    <row r="467" spans="1:18" hidden="1">
      <c r="A467" s="169" t="s">
        <v>707</v>
      </c>
      <c r="B467" s="169" t="s">
        <v>706</v>
      </c>
      <c r="C467" s="169" t="s">
        <v>688</v>
      </c>
      <c r="D467" s="169">
        <v>4</v>
      </c>
      <c r="E467" s="169">
        <v>46</v>
      </c>
      <c r="F467" s="169">
        <v>42</v>
      </c>
      <c r="G467" s="169">
        <v>8</v>
      </c>
      <c r="H467" s="169">
        <v>2</v>
      </c>
      <c r="I467" s="169">
        <v>3</v>
      </c>
      <c r="J467" s="169" t="s">
        <v>708</v>
      </c>
      <c r="K467" s="169" t="s">
        <v>708</v>
      </c>
      <c r="L467" s="169" t="s">
        <v>708</v>
      </c>
      <c r="M467" s="169" t="s">
        <v>708</v>
      </c>
      <c r="N467" s="169" t="s">
        <v>708</v>
      </c>
      <c r="O467" s="169">
        <v>105</v>
      </c>
      <c r="R467" s="169"/>
    </row>
    <row r="468" spans="1:18" hidden="1">
      <c r="A468" s="169" t="s">
        <v>707</v>
      </c>
      <c r="B468" s="169" t="s">
        <v>706</v>
      </c>
      <c r="C468" s="169" t="s">
        <v>689</v>
      </c>
      <c r="D468" s="169">
        <v>31</v>
      </c>
      <c r="E468" s="169">
        <v>58</v>
      </c>
      <c r="F468" s="169">
        <v>31</v>
      </c>
      <c r="G468" s="169">
        <v>6</v>
      </c>
      <c r="H468" s="169">
        <v>1</v>
      </c>
      <c r="I468" s="169" t="s">
        <v>708</v>
      </c>
      <c r="J468" s="169" t="s">
        <v>708</v>
      </c>
      <c r="K468" s="169" t="s">
        <v>708</v>
      </c>
      <c r="L468" s="169" t="s">
        <v>708</v>
      </c>
      <c r="M468" s="169" t="s">
        <v>708</v>
      </c>
      <c r="N468" s="169" t="s">
        <v>708</v>
      </c>
      <c r="O468" s="169">
        <v>127</v>
      </c>
      <c r="R468" s="169"/>
    </row>
    <row r="469" spans="1:18" hidden="1">
      <c r="A469" s="169" t="s">
        <v>707</v>
      </c>
      <c r="B469" s="169" t="s">
        <v>706</v>
      </c>
      <c r="C469" s="169" t="s">
        <v>690</v>
      </c>
      <c r="D469" s="169">
        <v>8</v>
      </c>
      <c r="E469" s="169">
        <v>23</v>
      </c>
      <c r="F469" s="169">
        <v>14</v>
      </c>
      <c r="G469" s="169">
        <v>2</v>
      </c>
      <c r="H469" s="169">
        <v>1</v>
      </c>
      <c r="I469" s="169">
        <v>1</v>
      </c>
      <c r="J469" s="169" t="s">
        <v>708</v>
      </c>
      <c r="K469" s="169" t="s">
        <v>708</v>
      </c>
      <c r="L469" s="169" t="s">
        <v>708</v>
      </c>
      <c r="M469" s="169" t="s">
        <v>708</v>
      </c>
      <c r="N469" s="169" t="s">
        <v>708</v>
      </c>
      <c r="O469" s="169">
        <v>49</v>
      </c>
      <c r="R469" s="169"/>
    </row>
    <row r="470" spans="1:18" hidden="1">
      <c r="A470" s="169" t="s">
        <v>707</v>
      </c>
      <c r="B470" s="169" t="s">
        <v>706</v>
      </c>
      <c r="C470" s="169" t="s">
        <v>694</v>
      </c>
      <c r="D470" s="169">
        <v>226</v>
      </c>
      <c r="E470" s="169">
        <v>1361</v>
      </c>
      <c r="F470" s="169">
        <v>1141</v>
      </c>
      <c r="G470" s="169">
        <v>272</v>
      </c>
      <c r="H470" s="169">
        <v>74</v>
      </c>
      <c r="I470" s="169">
        <v>18</v>
      </c>
      <c r="J470" s="169">
        <v>9</v>
      </c>
      <c r="K470" s="169">
        <v>2</v>
      </c>
      <c r="L470" s="169">
        <v>2</v>
      </c>
      <c r="M470" s="169" t="s">
        <v>708</v>
      </c>
      <c r="N470" s="169">
        <v>1</v>
      </c>
      <c r="O470" s="169">
        <v>3106</v>
      </c>
      <c r="R470" s="169"/>
    </row>
    <row r="471" spans="1:18" hidden="1">
      <c r="A471" s="169" t="s">
        <v>707</v>
      </c>
      <c r="B471" s="169" t="s">
        <v>706</v>
      </c>
      <c r="C471" s="169" t="s">
        <v>695</v>
      </c>
      <c r="D471" s="169">
        <v>5</v>
      </c>
      <c r="E471" s="169">
        <v>31</v>
      </c>
      <c r="F471" s="169">
        <v>37</v>
      </c>
      <c r="G471" s="169">
        <v>11</v>
      </c>
      <c r="H471" s="169">
        <v>7</v>
      </c>
      <c r="I471" s="169">
        <v>1</v>
      </c>
      <c r="J471" s="169">
        <v>1</v>
      </c>
      <c r="K471" s="169">
        <v>1</v>
      </c>
      <c r="L471" s="169">
        <v>1</v>
      </c>
      <c r="M471" s="169" t="s">
        <v>708</v>
      </c>
      <c r="N471" s="169" t="s">
        <v>708</v>
      </c>
      <c r="O471" s="169">
        <v>95</v>
      </c>
      <c r="R471" s="169"/>
    </row>
    <row r="472" spans="1:18" hidden="1">
      <c r="A472" s="169" t="s">
        <v>707</v>
      </c>
      <c r="B472" s="169" t="s">
        <v>706</v>
      </c>
      <c r="C472" s="169" t="s">
        <v>696</v>
      </c>
      <c r="D472" s="169">
        <v>11</v>
      </c>
      <c r="E472" s="169">
        <v>42</v>
      </c>
      <c r="F472" s="169">
        <v>21</v>
      </c>
      <c r="G472" s="169">
        <v>7</v>
      </c>
      <c r="H472" s="169">
        <v>5</v>
      </c>
      <c r="I472" s="169">
        <v>1</v>
      </c>
      <c r="J472" s="169" t="s">
        <v>708</v>
      </c>
      <c r="K472" s="169" t="s">
        <v>708</v>
      </c>
      <c r="L472" s="169" t="s">
        <v>708</v>
      </c>
      <c r="M472" s="169" t="s">
        <v>708</v>
      </c>
      <c r="N472" s="169" t="s">
        <v>708</v>
      </c>
      <c r="O472" s="169">
        <v>87</v>
      </c>
      <c r="R472" s="169"/>
    </row>
    <row r="473" spans="1:18" hidden="1">
      <c r="A473" s="169" t="s">
        <v>707</v>
      </c>
      <c r="B473" s="169" t="s">
        <v>706</v>
      </c>
      <c r="C473" s="169" t="s">
        <v>698</v>
      </c>
      <c r="D473" s="169">
        <v>14</v>
      </c>
      <c r="E473" s="169">
        <v>50</v>
      </c>
      <c r="F473" s="169">
        <v>40</v>
      </c>
      <c r="G473" s="169">
        <v>13</v>
      </c>
      <c r="H473" s="169">
        <v>2</v>
      </c>
      <c r="I473" s="169" t="s">
        <v>708</v>
      </c>
      <c r="J473" s="169">
        <v>1</v>
      </c>
      <c r="K473" s="169">
        <v>1</v>
      </c>
      <c r="L473" s="169" t="s">
        <v>708</v>
      </c>
      <c r="M473" s="169" t="s">
        <v>708</v>
      </c>
      <c r="N473" s="169" t="s">
        <v>708</v>
      </c>
      <c r="O473" s="169">
        <v>121</v>
      </c>
      <c r="R473" s="169"/>
    </row>
    <row r="474" spans="1:18" hidden="1">
      <c r="A474" s="169" t="s">
        <v>707</v>
      </c>
      <c r="B474" s="169" t="s">
        <v>706</v>
      </c>
      <c r="C474" s="169" t="s">
        <v>699</v>
      </c>
      <c r="D474" s="169">
        <v>110</v>
      </c>
      <c r="E474" s="169">
        <v>393</v>
      </c>
      <c r="F474" s="169">
        <v>278</v>
      </c>
      <c r="G474" s="169">
        <v>74</v>
      </c>
      <c r="H474" s="169">
        <v>11</v>
      </c>
      <c r="I474" s="169">
        <v>2</v>
      </c>
      <c r="J474" s="169">
        <v>2</v>
      </c>
      <c r="K474" s="169" t="s">
        <v>708</v>
      </c>
      <c r="L474" s="169" t="s">
        <v>708</v>
      </c>
      <c r="M474" s="169" t="s">
        <v>708</v>
      </c>
      <c r="N474" s="169" t="s">
        <v>708</v>
      </c>
      <c r="O474" s="169">
        <v>870</v>
      </c>
      <c r="R474" s="169"/>
    </row>
    <row r="475" spans="1:18" hidden="1">
      <c r="A475" s="169" t="s">
        <v>707</v>
      </c>
      <c r="B475" s="169" t="s">
        <v>706</v>
      </c>
      <c r="C475" s="169" t="s">
        <v>649</v>
      </c>
      <c r="D475" s="169">
        <v>1987</v>
      </c>
      <c r="E475" s="169">
        <v>6577</v>
      </c>
      <c r="F475" s="169">
        <v>5111</v>
      </c>
      <c r="G475" s="169">
        <v>1454</v>
      </c>
      <c r="H475" s="169">
        <v>457</v>
      </c>
      <c r="I475" s="169">
        <v>124</v>
      </c>
      <c r="J475" s="169">
        <v>51</v>
      </c>
      <c r="K475" s="169">
        <v>20</v>
      </c>
      <c r="L475" s="169">
        <v>8</v>
      </c>
      <c r="M475" s="169">
        <v>2</v>
      </c>
      <c r="N475" s="169">
        <v>1</v>
      </c>
      <c r="O475" s="169">
        <v>15792</v>
      </c>
      <c r="R475" s="169"/>
    </row>
  </sheetData>
  <autoFilter ref="A5:Q475" xr:uid="{00000000-0009-0000-0000-000000000000}">
    <filterColumn colId="0">
      <filters>
        <filter val="number of households (thousands)"/>
      </filters>
    </filterColumn>
    <filterColumn colId="2">
      <filters>
        <filter val="IL"/>
      </filters>
    </filterColumn>
  </autoFilter>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76F1-3946-420F-A140-21995E213E43}">
  <dimension ref="A1:E27"/>
  <sheetViews>
    <sheetView workbookViewId="0">
      <selection activeCell="A2" sqref="A2"/>
    </sheetView>
  </sheetViews>
  <sheetFormatPr defaultColWidth="8.81640625" defaultRowHeight="12.5"/>
  <cols>
    <col min="1" max="1" width="13.81640625" style="119" customWidth="1"/>
    <col min="2" max="2" width="31.81640625" style="119" customWidth="1"/>
    <col min="3" max="3" width="34.26953125" style="119" customWidth="1"/>
    <col min="4" max="16384" width="8.81640625" style="119"/>
  </cols>
  <sheetData>
    <row r="1" spans="1:5" s="121" customFormat="1" ht="13">
      <c r="A1" s="121" t="s">
        <v>709</v>
      </c>
      <c r="B1" s="121" t="s">
        <v>710</v>
      </c>
      <c r="C1" s="121" t="s">
        <v>199</v>
      </c>
      <c r="D1" s="121" t="s">
        <v>711</v>
      </c>
      <c r="E1" s="121" t="s">
        <v>712</v>
      </c>
    </row>
    <row r="2" spans="1:5">
      <c r="A2" s="119" t="s">
        <v>713</v>
      </c>
      <c r="B2" s="119" t="s">
        <v>714</v>
      </c>
      <c r="C2" s="246" t="s">
        <v>715</v>
      </c>
      <c r="D2" s="246" t="s">
        <v>715</v>
      </c>
      <c r="E2" s="247" t="s">
        <v>715</v>
      </c>
    </row>
    <row r="3" spans="1:5">
      <c r="A3" s="119" t="s">
        <v>713</v>
      </c>
      <c r="B3" s="246" t="s">
        <v>716</v>
      </c>
      <c r="C3" s="246" t="s">
        <v>715</v>
      </c>
      <c r="D3" s="246" t="s">
        <v>715</v>
      </c>
      <c r="E3" s="247" t="s">
        <v>715</v>
      </c>
    </row>
    <row r="4" spans="1:5">
      <c r="A4" s="119" t="s">
        <v>713</v>
      </c>
      <c r="B4" s="119" t="s">
        <v>275</v>
      </c>
      <c r="C4" s="119" t="s">
        <v>34</v>
      </c>
      <c r="D4" s="119" t="s">
        <v>285</v>
      </c>
      <c r="E4" s="119" t="s">
        <v>285</v>
      </c>
    </row>
    <row r="5" spans="1:5">
      <c r="A5" s="119" t="s">
        <v>713</v>
      </c>
      <c r="B5" s="119" t="s">
        <v>717</v>
      </c>
      <c r="C5" s="119" t="s">
        <v>37</v>
      </c>
      <c r="D5" s="119" t="s">
        <v>285</v>
      </c>
      <c r="E5" s="119" t="s">
        <v>285</v>
      </c>
    </row>
    <row r="6" spans="1:5">
      <c r="A6" s="119" t="s">
        <v>718</v>
      </c>
      <c r="B6" s="119" t="s">
        <v>719</v>
      </c>
      <c r="C6" s="119" t="s">
        <v>720</v>
      </c>
      <c r="D6" s="119" t="s">
        <v>285</v>
      </c>
      <c r="E6" s="119" t="s">
        <v>285</v>
      </c>
    </row>
    <row r="7" spans="1:5">
      <c r="A7" s="119" t="s">
        <v>718</v>
      </c>
      <c r="B7" s="119" t="s">
        <v>721</v>
      </c>
      <c r="C7" s="119" t="s">
        <v>722</v>
      </c>
      <c r="D7" s="119" t="s">
        <v>285</v>
      </c>
      <c r="E7" s="119" t="s">
        <v>285</v>
      </c>
    </row>
    <row r="8" spans="1:5">
      <c r="A8" s="119" t="s">
        <v>718</v>
      </c>
      <c r="B8" s="119" t="s">
        <v>723</v>
      </c>
      <c r="C8" s="119" t="s">
        <v>724</v>
      </c>
    </row>
    <row r="10" spans="1:5">
      <c r="A10" s="119" t="s">
        <v>725</v>
      </c>
      <c r="B10" s="119" t="s">
        <v>726</v>
      </c>
      <c r="C10" s="119" t="s">
        <v>727</v>
      </c>
      <c r="D10" s="119" t="s">
        <v>285</v>
      </c>
      <c r="E10" s="119" t="s">
        <v>285</v>
      </c>
    </row>
    <row r="11" spans="1:5">
      <c r="B11" s="119" t="s">
        <v>728</v>
      </c>
      <c r="C11" s="119" t="s">
        <v>729</v>
      </c>
      <c r="D11" s="119" t="s">
        <v>730</v>
      </c>
      <c r="E11" s="120" t="s">
        <v>648</v>
      </c>
    </row>
    <row r="12" spans="1:5">
      <c r="B12" s="119" t="s">
        <v>731</v>
      </c>
      <c r="C12" s="119" t="s">
        <v>729</v>
      </c>
      <c r="D12" s="119" t="s">
        <v>648</v>
      </c>
      <c r="E12" s="120" t="s">
        <v>648</v>
      </c>
    </row>
    <row r="13" spans="1:5">
      <c r="B13" s="119" t="s">
        <v>732</v>
      </c>
    </row>
    <row r="15" spans="1:5">
      <c r="A15" s="119" t="s">
        <v>733</v>
      </c>
      <c r="B15" s="119" t="s">
        <v>734</v>
      </c>
      <c r="C15" s="119" t="s">
        <v>735</v>
      </c>
      <c r="D15" s="119" t="s">
        <v>730</v>
      </c>
      <c r="E15" s="119" t="s">
        <v>285</v>
      </c>
    </row>
    <row r="16" spans="1:5">
      <c r="B16" s="119" t="s">
        <v>736</v>
      </c>
      <c r="C16" s="119" t="s">
        <v>737</v>
      </c>
      <c r="D16" s="119" t="s">
        <v>648</v>
      </c>
      <c r="E16" s="120" t="s">
        <v>648</v>
      </c>
    </row>
    <row r="17" spans="1:5">
      <c r="B17" s="119" t="s">
        <v>738</v>
      </c>
      <c r="C17" s="119" t="s">
        <v>737</v>
      </c>
      <c r="D17" s="119" t="s">
        <v>730</v>
      </c>
      <c r="E17" s="120" t="s">
        <v>648</v>
      </c>
    </row>
    <row r="19" spans="1:5">
      <c r="A19" s="119" t="s">
        <v>739</v>
      </c>
      <c r="B19" s="119" t="s">
        <v>740</v>
      </c>
      <c r="C19" s="119" t="s">
        <v>741</v>
      </c>
      <c r="D19" s="119" t="s">
        <v>284</v>
      </c>
      <c r="E19" s="119" t="s">
        <v>285</v>
      </c>
    </row>
    <row r="20" spans="1:5">
      <c r="B20" s="246" t="s">
        <v>742</v>
      </c>
      <c r="C20" s="246" t="s">
        <v>743</v>
      </c>
      <c r="D20" s="119" t="s">
        <v>284</v>
      </c>
      <c r="E20" s="119" t="s">
        <v>285</v>
      </c>
    </row>
    <row r="22" spans="1:5">
      <c r="A22" s="119" t="s">
        <v>744</v>
      </c>
      <c r="B22" s="119" t="s">
        <v>745</v>
      </c>
      <c r="C22" s="119" t="s">
        <v>743</v>
      </c>
      <c r="D22" s="119" t="s">
        <v>284</v>
      </c>
      <c r="E22" s="119" t="s">
        <v>285</v>
      </c>
    </row>
    <row r="24" spans="1:5">
      <c r="A24" s="119" t="s">
        <v>746</v>
      </c>
      <c r="B24" s="119" t="s">
        <v>747</v>
      </c>
    </row>
    <row r="26" spans="1:5">
      <c r="A26" s="119" t="s">
        <v>748</v>
      </c>
      <c r="B26" s="119" t="s">
        <v>749</v>
      </c>
      <c r="C26" s="119" t="s">
        <v>750</v>
      </c>
      <c r="D26" s="119" t="s">
        <v>285</v>
      </c>
      <c r="E26" s="119" t="s">
        <v>285</v>
      </c>
    </row>
    <row r="27" spans="1:5">
      <c r="B27" s="119" t="s">
        <v>745</v>
      </c>
      <c r="C27" s="119" t="s">
        <v>743</v>
      </c>
      <c r="D27" s="119" t="s">
        <v>284</v>
      </c>
      <c r="E27" s="119" t="s">
        <v>285</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06F96-194F-451A-A4C0-86760F950502}">
  <sheetPr>
    <tabColor rgb="FFCCCCFF"/>
  </sheetPr>
  <dimension ref="A1:D46"/>
  <sheetViews>
    <sheetView topLeftCell="A26" workbookViewId="0">
      <selection activeCell="F34" sqref="F34"/>
    </sheetView>
  </sheetViews>
  <sheetFormatPr defaultColWidth="8.7265625" defaultRowHeight="14"/>
  <cols>
    <col min="1" max="1" width="72.1796875" style="4" customWidth="1"/>
    <col min="2" max="2" width="24.54296875" style="3" customWidth="1"/>
    <col min="3" max="3" width="27.1796875" style="3" customWidth="1"/>
    <col min="4" max="4" width="12.26953125" style="3" customWidth="1"/>
    <col min="5" max="16384" width="8.7265625" style="3"/>
  </cols>
  <sheetData>
    <row r="1" spans="1:3" s="191" customFormat="1" ht="22.5">
      <c r="A1" s="173" t="s">
        <v>10</v>
      </c>
    </row>
    <row r="2" spans="1:3" ht="28">
      <c r="A2" s="22" t="s">
        <v>11</v>
      </c>
    </row>
    <row r="3" spans="1:3" ht="14.5" thickBot="1">
      <c r="A3" s="22" t="s">
        <v>12</v>
      </c>
    </row>
    <row r="4" spans="1:3" ht="18">
      <c r="A4" s="192" t="s">
        <v>13</v>
      </c>
    </row>
    <row r="5" spans="1:3">
      <c r="A5" s="193" t="s">
        <v>14</v>
      </c>
    </row>
    <row r="6" spans="1:3">
      <c r="A6" s="188" t="s">
        <v>15</v>
      </c>
    </row>
    <row r="7" spans="1:3" ht="14.5" thickBot="1">
      <c r="A7" s="194" t="s">
        <v>16</v>
      </c>
    </row>
    <row r="10" spans="1:3" s="9" customFormat="1" ht="36">
      <c r="A10" s="195" t="s">
        <v>17</v>
      </c>
    </row>
    <row r="12" spans="1:3" ht="14.5" thickBot="1">
      <c r="A12" s="122" t="s">
        <v>18</v>
      </c>
      <c r="B12" s="7" t="s">
        <v>19</v>
      </c>
      <c r="C12" s="7" t="s">
        <v>20</v>
      </c>
    </row>
    <row r="13" spans="1:3" ht="28.5" thickBot="1">
      <c r="A13" s="4" t="s">
        <v>21</v>
      </c>
      <c r="B13" s="186" t="s">
        <v>22</v>
      </c>
    </row>
    <row r="14" spans="1:3" ht="14.5" thickBot="1">
      <c r="A14" s="4" t="s">
        <v>23</v>
      </c>
      <c r="B14" s="186" t="s">
        <v>24</v>
      </c>
    </row>
    <row r="15" spans="1:3" ht="14.5" thickBot="1">
      <c r="A15" s="4" t="s">
        <v>25</v>
      </c>
      <c r="B15" s="186" t="s">
        <v>26</v>
      </c>
      <c r="C15" s="103" t="s">
        <v>27</v>
      </c>
    </row>
    <row r="16" spans="1:3" ht="14.5" thickBot="1">
      <c r="B16" s="186"/>
      <c r="C16" s="103"/>
    </row>
    <row r="17" spans="1:3" s="4" customFormat="1" ht="98.5" thickBot="1">
      <c r="A17" s="122" t="s">
        <v>28</v>
      </c>
      <c r="B17" s="123"/>
      <c r="C17" s="3"/>
    </row>
    <row r="18" spans="1:3" s="4" customFormat="1" ht="42.5" thickBot="1">
      <c r="A18" s="4" t="s">
        <v>29</v>
      </c>
      <c r="B18" s="123" t="s">
        <v>30</v>
      </c>
      <c r="C18" s="3" t="s">
        <v>31</v>
      </c>
    </row>
    <row r="19" spans="1:3" s="4" customFormat="1" ht="28.5" thickBot="1">
      <c r="A19" s="123" t="s">
        <v>32</v>
      </c>
      <c r="B19" s="123" t="s">
        <v>33</v>
      </c>
      <c r="C19" s="3" t="s">
        <v>34</v>
      </c>
    </row>
    <row r="20" spans="1:3" s="4" customFormat="1" ht="29.5" thickBot="1">
      <c r="A20" s="4" t="s">
        <v>35</v>
      </c>
      <c r="B20" s="151" t="s">
        <v>36</v>
      </c>
      <c r="C20" s="3" t="s">
        <v>37</v>
      </c>
    </row>
    <row r="21" spans="1:3" s="4" customFormat="1" ht="28.5" thickBot="1">
      <c r="A21" s="4" t="s">
        <v>38</v>
      </c>
      <c r="B21" s="186" t="s">
        <v>39</v>
      </c>
      <c r="C21" s="3" t="s">
        <v>37</v>
      </c>
    </row>
    <row r="22" spans="1:3" s="4" customFormat="1" ht="28.5" thickBot="1">
      <c r="A22" s="4" t="s">
        <v>40</v>
      </c>
      <c r="B22" s="186">
        <v>925</v>
      </c>
      <c r="C22" s="3" t="s">
        <v>41</v>
      </c>
    </row>
    <row r="23" spans="1:3" s="4" customFormat="1" ht="28.5" thickBot="1">
      <c r="A23" s="4" t="s">
        <v>42</v>
      </c>
      <c r="B23" s="186">
        <v>665</v>
      </c>
      <c r="C23" s="3" t="s">
        <v>43</v>
      </c>
    </row>
    <row r="24" spans="1:3" s="4" customFormat="1" ht="28.5" thickBot="1">
      <c r="A24" s="4" t="s">
        <v>44</v>
      </c>
      <c r="B24" s="178">
        <f>B23/B22</f>
        <v>0.7189189189189189</v>
      </c>
      <c r="C24" s="3" t="s">
        <v>45</v>
      </c>
    </row>
    <row r="25" spans="1:3" ht="14.5" thickBot="1">
      <c r="A25" s="4" t="s">
        <v>46</v>
      </c>
      <c r="B25" s="187">
        <v>103.14</v>
      </c>
      <c r="C25" s="3" t="s">
        <v>47</v>
      </c>
    </row>
    <row r="26" spans="1:3" ht="14.5" thickBot="1">
      <c r="A26" s="4" t="s">
        <v>48</v>
      </c>
      <c r="B26" s="179">
        <f>B24*B25</f>
        <v>74.149297297297295</v>
      </c>
      <c r="C26" s="3" t="s">
        <v>49</v>
      </c>
    </row>
    <row r="28" spans="1:3" s="9" customFormat="1" ht="36">
      <c r="A28" s="195" t="s">
        <v>50</v>
      </c>
    </row>
    <row r="29" spans="1:3" ht="28">
      <c r="A29" s="196" t="s">
        <v>51</v>
      </c>
    </row>
    <row r="30" spans="1:3">
      <c r="A30" s="196"/>
    </row>
    <row r="31" spans="1:3">
      <c r="A31" s="122" t="s">
        <v>18</v>
      </c>
      <c r="B31" s="7" t="s">
        <v>19</v>
      </c>
      <c r="C31" s="7" t="s">
        <v>20</v>
      </c>
    </row>
    <row r="32" spans="1:3">
      <c r="A32" s="4" t="s">
        <v>52</v>
      </c>
      <c r="B32" s="185">
        <v>281.60000000000002</v>
      </c>
      <c r="C32" s="6" t="s">
        <v>53</v>
      </c>
    </row>
    <row r="33" spans="1:4">
      <c r="A33" s="4" t="s">
        <v>54</v>
      </c>
      <c r="B33" s="21" t="str">
        <f>IF(B32&lt;2500, "Rural", "Urban")</f>
        <v>Rural</v>
      </c>
      <c r="C33" s="3" t="s">
        <v>55</v>
      </c>
    </row>
    <row r="35" spans="1:4" s="10" customFormat="1" ht="18">
      <c r="A35" s="195" t="s">
        <v>56</v>
      </c>
    </row>
    <row r="36" spans="1:4" s="10" customFormat="1" ht="17.5">
      <c r="A36" s="197" t="s">
        <v>57</v>
      </c>
    </row>
    <row r="37" spans="1:4" ht="56">
      <c r="A37" s="4" t="s">
        <v>58</v>
      </c>
    </row>
    <row r="38" spans="1:4" ht="42">
      <c r="A38" s="4" t="s">
        <v>59</v>
      </c>
    </row>
    <row r="39" spans="1:4" ht="28">
      <c r="A39" s="4" t="s">
        <v>60</v>
      </c>
    </row>
    <row r="40" spans="1:4" ht="14.5">
      <c r="A40" s="4" t="s">
        <v>61</v>
      </c>
    </row>
    <row r="42" spans="1:4" ht="14.5">
      <c r="A42" s="122" t="s">
        <v>62</v>
      </c>
      <c r="B42" s="7" t="s">
        <v>63</v>
      </c>
      <c r="C42" s="7"/>
    </row>
    <row r="43" spans="1:4" ht="14.5">
      <c r="A43" s="208" t="s">
        <v>64</v>
      </c>
      <c r="B43" s="23" t="str">
        <f>VLOOKUP(A43&amp;"*",'SOC Ref'!A5:B10,2, FALSE)</f>
        <v>High Activity Clay Soils</v>
      </c>
      <c r="D43" s="8"/>
    </row>
    <row r="44" spans="1:4" ht="14.5">
      <c r="B44" s="4"/>
    </row>
    <row r="45" spans="1:4" ht="18">
      <c r="A45" s="195" t="s">
        <v>65</v>
      </c>
    </row>
    <row r="46" spans="1:4" ht="14.5">
      <c r="A46" s="208">
        <v>61611</v>
      </c>
      <c r="B46" s="3" t="s">
        <v>66</v>
      </c>
    </row>
  </sheetData>
  <hyperlinks>
    <hyperlink ref="A29" r:id="rId1" display="https://mtgis-portal.geo.census.gov/arcgis/apps/MapSeries/index.html?appid=2566121a73de463995ed2b2fd7ff6eb7" xr:uid="{2506F102-C0ED-4C14-8D04-678091C98E27}"/>
    <hyperlink ref="C32" r:id="rId2" xr:uid="{CE26B536-DC35-4ED9-9436-E379A0AF1324}"/>
    <hyperlink ref="B20" location="'Census Tract Yr Structure Built'!A1" display="Census Tract Yr Structure Built" xr:uid="{90211189-8D5F-44F1-A477-400923878E77}"/>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605BCBE2-68C4-403B-BEDB-A69A1B859B1B}">
          <x14:formula1>
            <xm:f>'SOC Ref'!$A$5:$A$10</xm:f>
          </x14:formula1>
          <xm:sqref>A43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6B334-779C-4010-ADC9-140497D6BC31}">
  <sheetPr>
    <tabColor rgb="FF6699FF"/>
  </sheetPr>
  <dimension ref="A1:N85"/>
  <sheetViews>
    <sheetView topLeftCell="A9" workbookViewId="0">
      <selection activeCell="B9" sqref="B9"/>
    </sheetView>
  </sheetViews>
  <sheetFormatPr defaultColWidth="8.7265625" defaultRowHeight="14"/>
  <cols>
    <col min="1" max="1" width="21.54296875" style="1" customWidth="1"/>
    <col min="2" max="2" width="83.1796875" style="1" customWidth="1"/>
    <col min="3" max="3" width="125.81640625" style="1" customWidth="1"/>
    <col min="4" max="16384" width="8.7265625" style="1"/>
  </cols>
  <sheetData>
    <row r="1" spans="1:2" s="180" customFormat="1" ht="22.5">
      <c r="A1" s="180" t="s">
        <v>67</v>
      </c>
    </row>
    <row r="2" spans="1:2">
      <c r="A2" s="1" t="s">
        <v>11</v>
      </c>
    </row>
    <row r="3" spans="1:2" ht="14.5" thickBot="1">
      <c r="A3" s="1" t="s">
        <v>12</v>
      </c>
    </row>
    <row r="4" spans="1:2" s="11" customFormat="1" ht="18">
      <c r="A4" s="182" t="s">
        <v>13</v>
      </c>
    </row>
    <row r="5" spans="1:2">
      <c r="A5" s="183" t="s">
        <v>14</v>
      </c>
    </row>
    <row r="6" spans="1:2" ht="42">
      <c r="A6" s="188" t="s">
        <v>15</v>
      </c>
    </row>
    <row r="7" spans="1:2" ht="14.5" thickBot="1">
      <c r="A7" s="184" t="s">
        <v>16</v>
      </c>
    </row>
    <row r="9" spans="1:2" ht="14.5" thickBot="1">
      <c r="A9" s="1" t="s">
        <v>68</v>
      </c>
    </row>
    <row r="10" spans="1:2" ht="14.5" thickBot="1">
      <c r="A10" s="18">
        <f>'1-Inputs'!B26</f>
        <v>74.149297297297295</v>
      </c>
      <c r="B10" s="11" t="s">
        <v>69</v>
      </c>
    </row>
    <row r="11" spans="1:2" s="11" customFormat="1"/>
    <row r="12" spans="1:2" s="11" customFormat="1" ht="18">
      <c r="A12" s="12" t="s">
        <v>70</v>
      </c>
    </row>
    <row r="13" spans="1:2" s="11" customFormat="1" ht="17">
      <c r="A13" s="114">
        <f>SUM(A20,A57,A67,A77)</f>
        <v>19540.79073212263</v>
      </c>
      <c r="B13" s="11" t="s">
        <v>71</v>
      </c>
    </row>
    <row r="14" spans="1:2" s="11" customFormat="1"/>
    <row r="15" spans="1:2" s="12" customFormat="1" ht="18">
      <c r="A15" s="12" t="s">
        <v>72</v>
      </c>
    </row>
    <row r="16" spans="1:2" ht="14.5">
      <c r="A16" s="17" t="s">
        <v>73</v>
      </c>
    </row>
    <row r="17" spans="1:3">
      <c r="A17" s="126">
        <f>(A37-A46)*30</f>
        <v>14686610.399909355</v>
      </c>
      <c r="B17" s="1" t="s">
        <v>74</v>
      </c>
    </row>
    <row r="18" spans="1:3">
      <c r="A18" s="20">
        <f>10^-6</f>
        <v>9.9999999999999995E-7</v>
      </c>
      <c r="B18" s="1" t="s">
        <v>75</v>
      </c>
    </row>
    <row r="19" spans="1:3" ht="14.5" thickBot="1">
      <c r="A19" s="105">
        <f>SUM('MPG &amp; AVEFs by yr'!I22:I51)</f>
        <v>7471933548.1289587</v>
      </c>
      <c r="B19" s="1" t="s">
        <v>76</v>
      </c>
    </row>
    <row r="20" spans="1:3" ht="17.5" thickBot="1">
      <c r="A20" s="115">
        <f>A18*A19</f>
        <v>7471.9335481289581</v>
      </c>
      <c r="B20" s="11" t="s">
        <v>77</v>
      </c>
    </row>
    <row r="21" spans="1:3" s="11" customFormat="1"/>
    <row r="22" spans="1:3" s="13" customFormat="1" ht="18">
      <c r="A22" s="12" t="s">
        <v>78</v>
      </c>
    </row>
    <row r="23" spans="1:3" s="17" customFormat="1" ht="14.5">
      <c r="A23" s="189">
        <f>MPG_Refs!B35</f>
        <v>3514673.625</v>
      </c>
      <c r="B23" s="5" t="s">
        <v>79</v>
      </c>
    </row>
    <row r="24" spans="1:3" s="17" customFormat="1" ht="14.5">
      <c r="A24" s="105">
        <f>A23*365</f>
        <v>1282855873.125</v>
      </c>
      <c r="B24" s="109" t="s">
        <v>80</v>
      </c>
    </row>
    <row r="25" spans="1:3" s="17" customFormat="1" ht="14.5">
      <c r="A25" s="19">
        <f>MPG_Refs!R47</f>
        <v>0.75143564308005362</v>
      </c>
      <c r="B25" s="43" t="s">
        <v>81</v>
      </c>
    </row>
    <row r="26" spans="1:3" ht="14.5">
      <c r="A26" s="19">
        <f>MPG_Refs!R46</f>
        <v>0.24856435691994638</v>
      </c>
      <c r="B26" s="43" t="s">
        <v>82</v>
      </c>
    </row>
    <row r="27" spans="1:3">
      <c r="A27" s="105">
        <f>A24*A25</f>
        <v>963983628.0007081</v>
      </c>
      <c r="B27" s="1" t="s">
        <v>83</v>
      </c>
    </row>
    <row r="28" spans="1:3">
      <c r="A28" s="105">
        <f>A24*A26</f>
        <v>318872245.12429196</v>
      </c>
      <c r="B28" s="1" t="s">
        <v>84</v>
      </c>
    </row>
    <row r="29" spans="1:3">
      <c r="A29" s="124">
        <f>MPG_Refs!E48/100</f>
        <v>0.88</v>
      </c>
      <c r="B29" s="1" t="s">
        <v>85</v>
      </c>
    </row>
    <row r="30" spans="1:3" ht="14.5">
      <c r="A30" s="125">
        <f>A27*A29</f>
        <v>848305592.64062309</v>
      </c>
      <c r="B30" s="1" t="s">
        <v>86</v>
      </c>
    </row>
    <row r="31" spans="1:3" ht="14.5">
      <c r="A31" s="125">
        <f>A28*A29</f>
        <v>280607575.70937693</v>
      </c>
      <c r="B31" s="1" t="s">
        <v>87</v>
      </c>
    </row>
    <row r="32" spans="1:3" ht="14.5">
      <c r="A32" s="189">
        <v>46264</v>
      </c>
      <c r="B32" s="68" t="s">
        <v>88</v>
      </c>
      <c r="C32" s="1" t="s">
        <v>89</v>
      </c>
    </row>
    <row r="33" spans="1:3" ht="14.5">
      <c r="A33" s="189">
        <v>11252</v>
      </c>
      <c r="B33" s="68" t="s">
        <v>90</v>
      </c>
      <c r="C33" s="1" t="s">
        <v>89</v>
      </c>
    </row>
    <row r="34" spans="1:3" ht="14.5">
      <c r="A34" s="117">
        <f>A30/A32</f>
        <v>18336.192128666418</v>
      </c>
      <c r="B34" s="1" t="s">
        <v>91</v>
      </c>
    </row>
    <row r="35" spans="1:3" ht="14.5">
      <c r="A35" s="117">
        <f>A31/A33</f>
        <v>24938.462114235419</v>
      </c>
      <c r="B35" s="1" t="s">
        <v>92</v>
      </c>
    </row>
    <row r="36" spans="1:3" ht="17" thickBot="1">
      <c r="A36" s="105">
        <f>A34*A10</f>
        <v>1359615.7614488488</v>
      </c>
      <c r="B36" s="1" t="s">
        <v>93</v>
      </c>
    </row>
    <row r="37" spans="1:3" ht="17" thickBot="1">
      <c r="A37" s="106">
        <f>A35*A10</f>
        <v>1849169.4414458273</v>
      </c>
      <c r="B37" s="11" t="s">
        <v>94</v>
      </c>
    </row>
    <row r="38" spans="1:3" ht="14.5">
      <c r="A38" s="1" t="s">
        <v>95</v>
      </c>
    </row>
    <row r="39" spans="1:3" ht="14.5">
      <c r="A39" s="69">
        <f>'vehicles per HH'!R219</f>
        <v>1.0783744557329462</v>
      </c>
      <c r="B39" s="110" t="s">
        <v>96</v>
      </c>
      <c r="C39" s="110" t="s">
        <v>97</v>
      </c>
    </row>
    <row r="40" spans="1:3" ht="14.5">
      <c r="A40" s="69">
        <f>'vehicles per HH'!R70</f>
        <v>2.330078125</v>
      </c>
      <c r="B40" s="110" t="s">
        <v>98</v>
      </c>
      <c r="C40" s="110" t="s">
        <v>97</v>
      </c>
    </row>
    <row r="41" spans="1:3" ht="14.5">
      <c r="A41" s="116">
        <f>A34/A39</f>
        <v>17003.54828620614</v>
      </c>
      <c r="B41" s="110" t="s">
        <v>99</v>
      </c>
      <c r="C41" s="110"/>
    </row>
    <row r="42" spans="1:3" ht="14.5">
      <c r="A42" s="116">
        <f>A35/A40</f>
        <v>10702.843757324841</v>
      </c>
      <c r="B42" s="110" t="s">
        <v>100</v>
      </c>
      <c r="C42" s="110"/>
    </row>
    <row r="44" spans="1:3" ht="18">
      <c r="A44" s="12" t="s">
        <v>101</v>
      </c>
    </row>
    <row r="45" spans="1:3" s="17" customFormat="1" ht="15" thickBot="1">
      <c r="A45" s="17" t="s">
        <v>102</v>
      </c>
    </row>
    <row r="46" spans="1:3" ht="17" thickBot="1">
      <c r="A46" s="107">
        <f>A36</f>
        <v>1359615.7614488488</v>
      </c>
      <c r="B46" s="11" t="s">
        <v>103</v>
      </c>
    </row>
    <row r="48" spans="1:3" ht="18">
      <c r="A48" s="12" t="s">
        <v>104</v>
      </c>
    </row>
    <row r="49" spans="1:14" s="17" customFormat="1" ht="14.5">
      <c r="A49" s="17" t="s">
        <v>105</v>
      </c>
    </row>
    <row r="50" spans="1:14" s="17" customFormat="1" ht="14.5"/>
    <row r="51" spans="1:14" ht="14.5">
      <c r="B51" s="1" t="s">
        <v>106</v>
      </c>
      <c r="C51" s="1" t="s">
        <v>107</v>
      </c>
      <c r="D51" s="1" t="s">
        <v>108</v>
      </c>
    </row>
    <row r="52" spans="1:14" ht="17.5">
      <c r="A52" s="189">
        <v>1480.7</v>
      </c>
      <c r="B52" s="1" t="s">
        <v>109</v>
      </c>
      <c r="C52" s="1" t="s">
        <v>110</v>
      </c>
      <c r="D52" s="1" t="s">
        <v>111</v>
      </c>
      <c r="E52" s="43" t="s">
        <v>112</v>
      </c>
    </row>
    <row r="53" spans="1:14" ht="14.5">
      <c r="A53" s="101">
        <f>0.000453592</f>
        <v>4.53592E-4</v>
      </c>
      <c r="B53" s="1" t="s">
        <v>113</v>
      </c>
    </row>
    <row r="54" spans="1:14" ht="17.5">
      <c r="A54" s="118">
        <f>A52*A53</f>
        <v>0.67163367439999999</v>
      </c>
      <c r="B54" s="1" t="s">
        <v>114</v>
      </c>
    </row>
    <row r="55" spans="1:14" ht="17.5">
      <c r="A55" s="190">
        <f>Btu!I13*(1000000)/3412000</f>
        <v>13.716295427901525</v>
      </c>
      <c r="B55" s="1" t="s">
        <v>115</v>
      </c>
      <c r="C55" s="1" t="s">
        <v>116</v>
      </c>
      <c r="D55" s="1" t="s">
        <v>117</v>
      </c>
      <c r="E55" s="43" t="s">
        <v>118</v>
      </c>
      <c r="N55" s="64" t="s">
        <v>119</v>
      </c>
    </row>
    <row r="56" spans="1:14" ht="18" thickBot="1">
      <c r="A56" s="190">
        <f>Btu!I10*(1000000)/3412000</f>
        <v>8.4407971864009372</v>
      </c>
      <c r="B56" s="1" t="s">
        <v>120</v>
      </c>
      <c r="C56" s="1" t="s">
        <v>121</v>
      </c>
      <c r="D56" s="1" t="s">
        <v>117</v>
      </c>
      <c r="E56" s="43" t="s">
        <v>118</v>
      </c>
    </row>
    <row r="57" spans="1:14" ht="17" thickBot="1">
      <c r="A57" s="154">
        <f>A54*(A55-A56)*A10*30</f>
        <v>7881.7787511428369</v>
      </c>
      <c r="B57" s="11" t="s">
        <v>122</v>
      </c>
      <c r="C57" s="1" t="s">
        <v>123</v>
      </c>
      <c r="N57" s="64" t="s">
        <v>124</v>
      </c>
    </row>
    <row r="58" spans="1:14" ht="14.5">
      <c r="A58" s="153">
        <f>(A55-A56)*A10*30</f>
        <v>11735.234625011884</v>
      </c>
      <c r="B58" s="1" t="s">
        <v>125</v>
      </c>
    </row>
    <row r="60" spans="1:14" ht="18">
      <c r="A60" s="12" t="s">
        <v>126</v>
      </c>
    </row>
    <row r="61" spans="1:14" s="17" customFormat="1" ht="14.5">
      <c r="A61" s="17" t="s">
        <v>127</v>
      </c>
    </row>
    <row r="63" spans="1:14" ht="14.5">
      <c r="C63" s="1" t="s">
        <v>108</v>
      </c>
    </row>
    <row r="64" spans="1:14" ht="16.5">
      <c r="A64" s="20">
        <v>6.1710000000000003E-3</v>
      </c>
      <c r="B64" s="11" t="s">
        <v>128</v>
      </c>
      <c r="C64" s="5" t="s">
        <v>129</v>
      </c>
    </row>
    <row r="65" spans="1:3" ht="16.5">
      <c r="A65" s="20">
        <v>5.3099999999999996E-3</v>
      </c>
      <c r="B65" s="11" t="s">
        <v>130</v>
      </c>
      <c r="C65" s="5" t="s">
        <v>131</v>
      </c>
    </row>
    <row r="66" spans="1:3" ht="17" thickBot="1">
      <c r="A66" s="20">
        <f>Btu!J10</f>
        <v>76.599999999999994</v>
      </c>
      <c r="B66" s="11" t="s">
        <v>132</v>
      </c>
      <c r="C66" s="5" t="s">
        <v>133</v>
      </c>
    </row>
    <row r="67" spans="1:3" ht="17" thickBot="1">
      <c r="A67" s="154">
        <f>(A64-A65)*A66*A10*30</f>
        <v>146.71016834789197</v>
      </c>
      <c r="B67" s="11" t="s">
        <v>134</v>
      </c>
    </row>
    <row r="69" spans="1:3" ht="18">
      <c r="A69" s="12" t="s">
        <v>135</v>
      </c>
    </row>
    <row r="70" spans="1:3" ht="14.5">
      <c r="A70" s="17" t="s">
        <v>136</v>
      </c>
    </row>
    <row r="71" spans="1:3" ht="14.5">
      <c r="A71" s="20">
        <v>0.3</v>
      </c>
      <c r="B71" s="1" t="s">
        <v>137</v>
      </c>
    </row>
    <row r="72" spans="1:3" ht="16.5">
      <c r="A72" s="20">
        <f>VLOOKUP('1-Inputs'!B43,'SOC Ref'!B5:C10,2, FALSE)</f>
        <v>88</v>
      </c>
      <c r="B72" s="1" t="s">
        <v>138</v>
      </c>
    </row>
    <row r="73" spans="1:3" ht="16.5">
      <c r="A73" s="104">
        <f>44/12</f>
        <v>3.6666666666666665</v>
      </c>
      <c r="B73" s="1" t="s">
        <v>139</v>
      </c>
    </row>
    <row r="74" spans="1:3" ht="14.5">
      <c r="A74" s="104">
        <v>2.47105</v>
      </c>
      <c r="B74" s="1" t="s">
        <v>140</v>
      </c>
    </row>
    <row r="75" spans="1:3" ht="14.5">
      <c r="A75" s="20">
        <v>3</v>
      </c>
      <c r="B75" s="1" t="s">
        <v>141</v>
      </c>
    </row>
    <row r="76" spans="1:3" ht="15" thickBot="1">
      <c r="A76" s="20">
        <f>'1-Inputs'!B25</f>
        <v>103.14</v>
      </c>
      <c r="B76" s="1" t="s">
        <v>142</v>
      </c>
    </row>
    <row r="77" spans="1:3" ht="17" thickBot="1">
      <c r="A77" s="155">
        <f>(A71*A72*A73*(1/A74)*(IF(A76/A10 &lt; 3, A76/A10, 3))*A10)</f>
        <v>4040.3682645029435</v>
      </c>
      <c r="B77" s="11" t="s">
        <v>143</v>
      </c>
    </row>
    <row r="80" spans="1:3" ht="21">
      <c r="A80" s="12" t="s">
        <v>144</v>
      </c>
    </row>
    <row r="81" spans="1:2" s="17" customFormat="1" ht="14.5">
      <c r="A81" s="17" t="s">
        <v>145</v>
      </c>
    </row>
    <row r="82" spans="1:2" ht="14.5">
      <c r="A82" s="127">
        <f>SUM('MPG &amp; AVEFs by yr'!V22:V51)+('MPG &amp; AVEFs by yr'!AA6*('2-Equations'!A55-'2-Equations'!A56)*'2-Equations'!A10*30) +(('MPG &amp; AVEFs by yr'!AE6-'MPG &amp; AVEFs by yr'!AI6)*'MPG &amp; AVEFs by yr'!AJ6*'2-Equations'!A10*30)</f>
        <v>19415.163348762497</v>
      </c>
      <c r="B82" s="100" t="s">
        <v>146</v>
      </c>
    </row>
    <row r="83" spans="1:2" ht="14.5">
      <c r="B83" s="1" t="s">
        <v>147</v>
      </c>
    </row>
    <row r="84" spans="1:2" ht="14.5">
      <c r="A84" s="1">
        <v>4.53592E-4</v>
      </c>
      <c r="B84" s="1" t="s">
        <v>148</v>
      </c>
    </row>
    <row r="85" spans="1:2" ht="14.5">
      <c r="A85" s="156">
        <f>A82*A84</f>
        <v>8.8065627736918781</v>
      </c>
      <c r="B85" s="1" t="s">
        <v>149</v>
      </c>
    </row>
  </sheetData>
  <hyperlinks>
    <hyperlink ref="B23" r:id="rId1" display="Annual vehicle miles of travel in 2020 according to Illinois Travel Statistics 2021" xr:uid="{3DC40291-5D12-491C-8AF5-39D32998E3EA}"/>
    <hyperlink ref="B32" r:id="rId2" xr:uid="{60C9069B-F49D-4C2D-937E-45A01551ADBC}"/>
    <hyperlink ref="B33" r:id="rId3" xr:uid="{9C01A0FD-7085-454D-9A53-3AFB421D5C6F}"/>
    <hyperlink ref="C66" r:id="rId4" location="by%20fuel" xr:uid="{D0CB5594-FF15-4BCC-A244-AB2EB25E8E6E}"/>
    <hyperlink ref="B25" r:id="rId5" display="% IL AVMT rural from IL Travel Statistics" xr:uid="{C9917E42-8A04-4EAF-8346-C5D782D242C0}"/>
    <hyperlink ref="B26" r:id="rId6" display="% IL AVMT rural from IL Travel Statistics" xr:uid="{C5EC84D8-30A0-4841-8FA4-524570D468F8}"/>
    <hyperlink ref="E55" r:id="rId7" xr:uid="{3BEA1D51-788C-4DCC-858C-E43B1AF7E8D8}"/>
    <hyperlink ref="E52" r:id="rId8" xr:uid="{468D9BE3-A117-4798-9122-6AC34A6CA415}"/>
    <hyperlink ref="E56" r:id="rId9" xr:uid="{DEC93B62-C566-4B55-A142-21CC101570DD}"/>
    <hyperlink ref="C64" r:id="rId10" xr:uid="{F19C80AF-2E02-444E-8F80-95DD6D177BE3}"/>
    <hyperlink ref="C65" r:id="rId11" xr:uid="{F9F440F2-C83E-4E4A-B795-55F51C59A788}"/>
  </hyperlink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04FB3-516B-4332-9BA5-16F13B672921}">
  <sheetPr>
    <tabColor rgb="FF66FF66"/>
  </sheetPr>
  <dimension ref="A1:I32"/>
  <sheetViews>
    <sheetView topLeftCell="A16" workbookViewId="0">
      <selection activeCell="I24" sqref="I24"/>
    </sheetView>
  </sheetViews>
  <sheetFormatPr defaultRowHeight="14.5"/>
  <cols>
    <col min="1" max="1" width="17.26953125" customWidth="1"/>
    <col min="9" max="9" width="10" bestFit="1" customWidth="1"/>
  </cols>
  <sheetData>
    <row r="1" spans="1:2" s="158" customFormat="1" ht="25">
      <c r="A1" s="209" t="s">
        <v>150</v>
      </c>
    </row>
    <row r="2" spans="1:2" s="102" customFormat="1" ht="17.5">
      <c r="A2" s="102" t="s">
        <v>151</v>
      </c>
    </row>
    <row r="3" spans="1:2" s="102" customFormat="1" ht="25">
      <c r="A3" s="157" t="s">
        <v>152</v>
      </c>
    </row>
    <row r="4" spans="1:2">
      <c r="A4" s="159">
        <f>'1-Inputs'!B25</f>
        <v>103.14</v>
      </c>
      <c r="B4" s="1" t="s">
        <v>153</v>
      </c>
    </row>
    <row r="5" spans="1:2">
      <c r="A5" s="159">
        <f>'1-Inputs'!B24</f>
        <v>0.7189189189189189</v>
      </c>
      <c r="B5" s="1" t="s">
        <v>154</v>
      </c>
    </row>
    <row r="6" spans="1:2">
      <c r="A6" s="159">
        <f>'1-Inputs'!B26</f>
        <v>74.149297297297295</v>
      </c>
      <c r="B6" s="1" t="s">
        <v>155</v>
      </c>
    </row>
    <row r="7" spans="1:2" s="158" customFormat="1" ht="17">
      <c r="A7" s="160">
        <f>'2-Equations'!A13</f>
        <v>19540.79073212263</v>
      </c>
      <c r="B7" s="164" t="s">
        <v>156</v>
      </c>
    </row>
    <row r="8" spans="1:2">
      <c r="A8" s="159">
        <f>'2-Equations'!A17</f>
        <v>14686610.399909355</v>
      </c>
      <c r="B8" s="1" t="s">
        <v>157</v>
      </c>
    </row>
    <row r="9" spans="1:2" ht="17">
      <c r="A9" s="159">
        <f>'2-Equations'!A20</f>
        <v>7471.9335481289581</v>
      </c>
      <c r="B9" s="1" t="s">
        <v>158</v>
      </c>
    </row>
    <row r="10" spans="1:2">
      <c r="A10" s="159">
        <f>'2-Equations'!A58</f>
        <v>11735.234625011884</v>
      </c>
      <c r="B10" s="1" t="s">
        <v>159</v>
      </c>
    </row>
    <row r="11" spans="1:2" ht="17">
      <c r="A11" s="159">
        <f>'2-Equations'!A57</f>
        <v>7881.7787511428369</v>
      </c>
      <c r="B11" s="1" t="s">
        <v>160</v>
      </c>
    </row>
    <row r="12" spans="1:2" ht="17">
      <c r="A12" s="159">
        <f>'2-Equations'!A67</f>
        <v>146.71016834789197</v>
      </c>
      <c r="B12" s="1" t="s">
        <v>161</v>
      </c>
    </row>
    <row r="13" spans="1:2" ht="17">
      <c r="A13" s="159">
        <f>'2-Equations'!A77</f>
        <v>4040.3682645029435</v>
      </c>
      <c r="B13" s="1" t="s">
        <v>162</v>
      </c>
    </row>
    <row r="14" spans="1:2">
      <c r="A14" s="159">
        <f>'2-Equations'!A85</f>
        <v>8.8065627736918781</v>
      </c>
      <c r="B14" s="1" t="s">
        <v>163</v>
      </c>
    </row>
    <row r="16" spans="1:2" ht="25">
      <c r="A16" s="157" t="s">
        <v>164</v>
      </c>
    </row>
    <row r="17" spans="1:9" ht="16">
      <c r="A17" s="152">
        <f>'per acre'!H4</f>
        <v>6.3152965975446422</v>
      </c>
      <c r="B17" s="1" t="s">
        <v>165</v>
      </c>
      <c r="C17" s="1"/>
      <c r="D17" s="1"/>
      <c r="E17" s="1"/>
      <c r="F17" s="1"/>
    </row>
    <row r="18" spans="1:9" ht="16">
      <c r="A18" s="152">
        <f>'per acre'!I4</f>
        <v>8.7844351168854047</v>
      </c>
      <c r="B18" s="1" t="s">
        <v>166</v>
      </c>
      <c r="C18" s="1"/>
      <c r="D18" s="1"/>
      <c r="E18" s="1"/>
      <c r="F18" s="1"/>
    </row>
    <row r="19" spans="1:9">
      <c r="A19" s="161">
        <f>'per acre'!J4</f>
        <v>6602.2699855690007</v>
      </c>
      <c r="B19" s="1" t="s">
        <v>167</v>
      </c>
      <c r="C19" s="1"/>
      <c r="D19" s="1"/>
      <c r="E19" s="1"/>
      <c r="F19" s="1"/>
    </row>
    <row r="20" spans="1:9">
      <c r="A20" s="1"/>
      <c r="B20" s="1"/>
      <c r="C20" s="1"/>
      <c r="D20" s="1"/>
      <c r="E20" s="1"/>
      <c r="F20" s="1"/>
    </row>
    <row r="21" spans="1:9" ht="25">
      <c r="A21" s="162" t="s">
        <v>168</v>
      </c>
      <c r="B21" s="1"/>
      <c r="C21" s="1"/>
      <c r="D21" s="1"/>
      <c r="E21" s="1"/>
      <c r="F21" s="1"/>
    </row>
    <row r="22" spans="1:9" s="241" customFormat="1">
      <c r="A22" s="241" t="s">
        <v>169</v>
      </c>
    </row>
    <row r="23" spans="1:9" ht="16">
      <c r="A23" s="240">
        <f>COMETFarm!D46</f>
        <v>1870.6474800000001</v>
      </c>
      <c r="B23" s="163" t="s">
        <v>170</v>
      </c>
      <c r="C23" s="1"/>
      <c r="D23" s="1"/>
      <c r="E23" s="1"/>
      <c r="F23" s="1"/>
      <c r="I23">
        <f>A23/30</f>
        <v>62.354916000000003</v>
      </c>
    </row>
    <row r="24" spans="1:9">
      <c r="A24" s="239">
        <f>COMETFarm!D47</f>
        <v>-732.75217294692959</v>
      </c>
      <c r="B24" s="163" t="s">
        <v>171</v>
      </c>
      <c r="C24" s="1"/>
      <c r="D24" s="1"/>
      <c r="E24" s="1"/>
      <c r="F24" s="1"/>
    </row>
    <row r="25" spans="1:9">
      <c r="A25" s="239">
        <f>COMETFarm!D48</f>
        <v>-842.45467462539648</v>
      </c>
      <c r="B25" s="163" t="s">
        <v>172</v>
      </c>
      <c r="C25" s="1"/>
      <c r="D25" s="1"/>
      <c r="E25" s="1"/>
      <c r="F25" s="1"/>
    </row>
    <row r="26" spans="1:9">
      <c r="A26" s="239">
        <f>COMETFarm!D49</f>
        <v>-3076.7415820121764</v>
      </c>
      <c r="B26" s="163" t="s">
        <v>173</v>
      </c>
    </row>
    <row r="27" spans="1:9">
      <c r="A27" s="1"/>
      <c r="B27" s="163"/>
    </row>
    <row r="28" spans="1:9" ht="25">
      <c r="A28" s="162" t="s">
        <v>174</v>
      </c>
      <c r="B28" s="163"/>
    </row>
    <row r="29" spans="1:9" ht="25">
      <c r="A29" s="162"/>
      <c r="B29" s="163"/>
    </row>
    <row r="30" spans="1:9">
      <c r="A30" s="239">
        <f>A24/(65*30)</f>
        <v>-0.37577034510098956</v>
      </c>
      <c r="B30" s="163" t="s">
        <v>175</v>
      </c>
    </row>
    <row r="31" spans="1:9">
      <c r="A31" s="239">
        <f>A25/(65*30)</f>
        <v>-0.43202803826943409</v>
      </c>
      <c r="B31" s="163" t="s">
        <v>176</v>
      </c>
    </row>
    <row r="32" spans="1:9">
      <c r="A32" s="239">
        <f>A26/(65*30)</f>
        <v>-1.5778161959036803</v>
      </c>
      <c r="B32" s="163" t="s">
        <v>177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A75A-FF0A-4FD4-B750-7C73029F0BE7}">
  <dimension ref="A2:I60"/>
  <sheetViews>
    <sheetView zoomScale="90" zoomScaleNormal="90" workbookViewId="0">
      <selection activeCell="I51" sqref="I51"/>
    </sheetView>
  </sheetViews>
  <sheetFormatPr defaultColWidth="8.81640625" defaultRowHeight="14"/>
  <cols>
    <col min="1" max="1" width="38.7265625" style="1" customWidth="1"/>
    <col min="2" max="5" width="16.54296875" style="1" customWidth="1"/>
    <col min="6" max="6" width="15.453125" style="1" customWidth="1"/>
    <col min="7" max="7" width="8.81640625" style="1"/>
    <col min="8" max="8" width="10.7265625" style="1" bestFit="1" customWidth="1"/>
    <col min="9" max="16384" width="8.81640625" style="1"/>
  </cols>
  <sheetData>
    <row r="2" spans="1:5" s="227" customFormat="1">
      <c r="A2" s="227" t="s">
        <v>178</v>
      </c>
    </row>
    <row r="3" spans="1:5" s="227" customFormat="1"/>
    <row r="4" spans="1:5" ht="28">
      <c r="A4" s="22" t="s">
        <v>179</v>
      </c>
      <c r="B4" s="22" t="s">
        <v>180</v>
      </c>
      <c r="C4" s="22" t="s">
        <v>181</v>
      </c>
      <c r="D4" s="22" t="s">
        <v>182</v>
      </c>
      <c r="E4" s="22" t="s">
        <v>183</v>
      </c>
    </row>
    <row r="5" spans="1:5">
      <c r="A5" s="22" t="s">
        <v>184</v>
      </c>
      <c r="B5" s="22">
        <v>65</v>
      </c>
      <c r="C5" s="22">
        <v>65</v>
      </c>
      <c r="D5" s="22">
        <v>58</v>
      </c>
      <c r="E5" s="22">
        <v>42</v>
      </c>
    </row>
    <row r="6" spans="1:5">
      <c r="A6" s="22" t="s">
        <v>185</v>
      </c>
      <c r="B6" s="22">
        <v>0</v>
      </c>
      <c r="C6" s="22">
        <v>0</v>
      </c>
      <c r="D6" s="22">
        <v>7</v>
      </c>
      <c r="E6" s="22">
        <v>23</v>
      </c>
    </row>
    <row r="7" spans="1:5">
      <c r="A7" s="22"/>
      <c r="B7" s="22" t="s">
        <v>186</v>
      </c>
      <c r="C7" s="22" t="s">
        <v>186</v>
      </c>
      <c r="D7" s="22" t="s">
        <v>186</v>
      </c>
      <c r="E7" s="22" t="s">
        <v>186</v>
      </c>
    </row>
    <row r="8" spans="1:5">
      <c r="A8" s="1" t="s">
        <v>187</v>
      </c>
      <c r="B8" s="226">
        <v>24.939999999999998</v>
      </c>
      <c r="C8" s="226">
        <v>-60.220999999999997</v>
      </c>
      <c r="D8" s="226">
        <v>-56.429999999999993</v>
      </c>
      <c r="E8" s="226">
        <v>-48.141999999999996</v>
      </c>
    </row>
    <row r="9" spans="1:5">
      <c r="A9" s="1" t="s">
        <v>188</v>
      </c>
      <c r="B9" s="226">
        <v>-1.7337256000000001</v>
      </c>
      <c r="C9" s="226">
        <v>-4.2676343000000001</v>
      </c>
      <c r="D9" s="226">
        <v>-3.5886931999999998</v>
      </c>
      <c r="E9" s="226">
        <v>-2.0368249999999999</v>
      </c>
    </row>
    <row r="10" spans="1:5">
      <c r="A10" s="1" t="s">
        <v>189</v>
      </c>
      <c r="B10" s="226">
        <v>39.148632999999997</v>
      </c>
      <c r="C10" s="226">
        <v>40.063560500000001</v>
      </c>
      <c r="D10" s="226">
        <v>35.283535999999998</v>
      </c>
      <c r="E10" s="226">
        <v>24.824103000000001</v>
      </c>
    </row>
    <row r="11" spans="1:5" s="238" customFormat="1" ht="12">
      <c r="A11" s="236" t="s">
        <v>190</v>
      </c>
      <c r="B11" s="237">
        <v>29.852999999999998</v>
      </c>
      <c r="C11" s="237">
        <v>28.704000000000001</v>
      </c>
      <c r="D11" s="237">
        <v>25.416999999999998</v>
      </c>
      <c r="E11" s="237">
        <v>18.233999999999998</v>
      </c>
    </row>
    <row r="12" spans="1:5" s="238" customFormat="1" ht="12">
      <c r="A12" s="236" t="s">
        <v>191</v>
      </c>
      <c r="B12" s="237">
        <v>9.295633699999998</v>
      </c>
      <c r="C12" s="237">
        <v>11.3595591</v>
      </c>
      <c r="D12" s="237">
        <v>9.8665345000000002</v>
      </c>
      <c r="E12" s="237">
        <v>6.5901019999999999</v>
      </c>
    </row>
    <row r="13" spans="1:5" s="238" customFormat="1" ht="12">
      <c r="A13" s="236" t="s">
        <v>192</v>
      </c>
      <c r="B13" s="237">
        <v>3.7019498</v>
      </c>
      <c r="C13" s="237">
        <v>7.5009978999999998</v>
      </c>
      <c r="D13" s="237">
        <v>6.5186026999999997</v>
      </c>
      <c r="E13" s="237">
        <v>4.3627539999999998</v>
      </c>
    </row>
    <row r="14" spans="1:5" s="238" customFormat="1" ht="12">
      <c r="A14" s="236" t="s">
        <v>193</v>
      </c>
      <c r="B14" s="237">
        <v>5.5936862999999999</v>
      </c>
      <c r="C14" s="237">
        <v>3.8585672000000004</v>
      </c>
      <c r="D14" s="237">
        <v>3.3479305000000004</v>
      </c>
      <c r="E14" s="237">
        <v>2.2273412000000001</v>
      </c>
    </row>
    <row r="15" spans="1:5">
      <c r="A15" s="1" t="s">
        <v>194</v>
      </c>
      <c r="B15" s="226">
        <v>62.354916000000003</v>
      </c>
      <c r="C15" s="226">
        <v>-24.42507243156432</v>
      </c>
      <c r="D15" s="226">
        <v>-24.735155820846551</v>
      </c>
      <c r="E15" s="226">
        <v>-25.35471940040588</v>
      </c>
    </row>
    <row r="16" spans="1:5">
      <c r="A16" s="1" t="s">
        <v>195</v>
      </c>
      <c r="B16" s="226">
        <v>0</v>
      </c>
      <c r="C16" s="226">
        <v>0</v>
      </c>
      <c r="D16" s="226">
        <f>H22</f>
        <v>-6.9</v>
      </c>
      <c r="E16" s="226">
        <f>SUM(H22,H28,H36,H42)</f>
        <v>-106.99999999999999</v>
      </c>
    </row>
    <row r="17" spans="1:9">
      <c r="A17" s="1" t="s">
        <v>196</v>
      </c>
      <c r="B17" s="226">
        <v>62.4</v>
      </c>
      <c r="C17" s="226">
        <v>-24.4</v>
      </c>
      <c r="D17" s="226">
        <v>-31.3</v>
      </c>
      <c r="E17" s="226">
        <v>-132.4</v>
      </c>
    </row>
    <row r="18" spans="1:9" s="227" customFormat="1">
      <c r="A18" s="227" t="s">
        <v>197</v>
      </c>
    </row>
    <row r="19" spans="1:9">
      <c r="B19" s="249" t="s">
        <v>198</v>
      </c>
      <c r="C19" s="249"/>
      <c r="D19" s="249"/>
      <c r="E19" s="249"/>
      <c r="F19" s="249"/>
      <c r="G19" s="249"/>
    </row>
    <row r="20" spans="1:9" ht="14.5">
      <c r="A20" s="213" t="s">
        <v>199</v>
      </c>
      <c r="B20" s="214">
        <v>2022</v>
      </c>
      <c r="C20" s="214">
        <v>2032</v>
      </c>
      <c r="D20" s="214">
        <v>2042</v>
      </c>
      <c r="E20" s="214">
        <v>2052</v>
      </c>
      <c r="F20" s="214">
        <v>2062</v>
      </c>
      <c r="G20" s="214">
        <v>2072</v>
      </c>
      <c r="H20" s="215" t="s">
        <v>200</v>
      </c>
      <c r="I20" s="216"/>
    </row>
    <row r="21" spans="1:9" ht="14.5">
      <c r="A21" s="248" t="s">
        <v>201</v>
      </c>
      <c r="B21" s="248"/>
      <c r="C21" s="248"/>
      <c r="D21" s="248"/>
      <c r="E21" s="248"/>
      <c r="F21" s="248"/>
      <c r="G21" s="248"/>
      <c r="H21" s="248"/>
      <c r="I21" s="216"/>
    </row>
    <row r="22" spans="1:9" ht="14.5">
      <c r="A22" s="217" t="s">
        <v>202</v>
      </c>
      <c r="B22" s="218">
        <v>0.5</v>
      </c>
      <c r="C22" s="218">
        <v>8.1999999999999993</v>
      </c>
      <c r="D22" s="218">
        <v>37.799999999999997</v>
      </c>
      <c r="E22" s="218">
        <v>100.4</v>
      </c>
      <c r="F22" s="218">
        <v>202.2</v>
      </c>
      <c r="G22" s="218">
        <v>344</v>
      </c>
      <c r="H22" s="219">
        <v>-6.9</v>
      </c>
      <c r="I22" s="216"/>
    </row>
    <row r="23" spans="1:9" ht="14.5">
      <c r="A23" s="216"/>
      <c r="B23" s="216"/>
      <c r="C23" s="216"/>
      <c r="D23" s="216"/>
      <c r="E23" s="216"/>
      <c r="F23" s="216"/>
      <c r="G23" s="216"/>
      <c r="H23" s="216"/>
      <c r="I23" s="216"/>
    </row>
    <row r="24" spans="1:9" ht="14.5">
      <c r="A24" s="250" t="s">
        <v>203</v>
      </c>
      <c r="B24" s="250"/>
      <c r="C24" s="250"/>
      <c r="D24" s="250"/>
      <c r="E24" s="250"/>
      <c r="F24" s="250"/>
      <c r="G24" s="250"/>
      <c r="H24" s="250"/>
      <c r="I24" s="216"/>
    </row>
    <row r="25" spans="1:9" ht="15">
      <c r="A25" s="217" t="s">
        <v>204</v>
      </c>
      <c r="B25" s="218">
        <v>1.1000000000000001</v>
      </c>
      <c r="C25" s="218">
        <v>14.6</v>
      </c>
      <c r="D25" s="218">
        <v>50.8</v>
      </c>
      <c r="E25" s="218">
        <v>118.3</v>
      </c>
      <c r="F25" s="218">
        <v>219.1</v>
      </c>
      <c r="G25" s="218">
        <v>351.6</v>
      </c>
      <c r="H25" s="220">
        <v>-7</v>
      </c>
      <c r="I25" s="216"/>
    </row>
    <row r="26" spans="1:9" ht="15">
      <c r="A26" s="221" t="s">
        <v>205</v>
      </c>
      <c r="B26" s="222">
        <v>1.1000000000000001</v>
      </c>
      <c r="C26" s="222">
        <v>14.6</v>
      </c>
      <c r="D26" s="222">
        <v>50.8</v>
      </c>
      <c r="E26" s="222">
        <v>118.3</v>
      </c>
      <c r="F26" s="222">
        <v>219.1</v>
      </c>
      <c r="G26" s="222">
        <v>351.6</v>
      </c>
      <c r="H26" s="220">
        <v>-7</v>
      </c>
      <c r="I26" s="216"/>
    </row>
    <row r="27" spans="1:9" ht="15">
      <c r="A27" s="217" t="s">
        <v>206</v>
      </c>
      <c r="B27" s="218">
        <v>1.1000000000000001</v>
      </c>
      <c r="C27" s="218">
        <v>16.5</v>
      </c>
      <c r="D27" s="218">
        <v>76.400000000000006</v>
      </c>
      <c r="E27" s="218">
        <v>202.3</v>
      </c>
      <c r="F27" s="218">
        <v>407.3</v>
      </c>
      <c r="G27" s="218">
        <v>692.8</v>
      </c>
      <c r="H27" s="219">
        <v>-13.8</v>
      </c>
      <c r="I27" s="216"/>
    </row>
    <row r="28" spans="1:9" ht="14.5">
      <c r="A28" s="223" t="s">
        <v>194</v>
      </c>
      <c r="B28" s="222">
        <v>3.3</v>
      </c>
      <c r="C28" s="222">
        <v>45.8</v>
      </c>
      <c r="D28" s="222">
        <v>177.7</v>
      </c>
      <c r="E28" s="222">
        <v>438.8</v>
      </c>
      <c r="F28" s="222">
        <v>845.4</v>
      </c>
      <c r="G28" s="222">
        <v>1395.9</v>
      </c>
      <c r="H28" s="220">
        <v>-27.9</v>
      </c>
      <c r="I28" s="216"/>
    </row>
    <row r="29" spans="1:9" ht="14.5">
      <c r="A29" s="251"/>
      <c r="B29" s="251"/>
      <c r="C29" s="251"/>
      <c r="D29" s="251"/>
      <c r="E29" s="251"/>
      <c r="F29" s="251"/>
      <c r="G29" s="251"/>
      <c r="H29" s="251"/>
      <c r="I29" s="216"/>
    </row>
    <row r="30" spans="1:9" ht="14.5">
      <c r="A30" s="248" t="s">
        <v>207</v>
      </c>
      <c r="B30" s="248"/>
      <c r="C30" s="248"/>
      <c r="D30" s="248"/>
      <c r="E30" s="248"/>
      <c r="F30" s="248"/>
      <c r="G30" s="248"/>
      <c r="H30" s="248"/>
      <c r="I30" s="216"/>
    </row>
    <row r="31" spans="1:9" ht="15">
      <c r="A31" s="217" t="s">
        <v>208</v>
      </c>
      <c r="B31" s="218">
        <v>0.7</v>
      </c>
      <c r="C31" s="218">
        <v>37.1</v>
      </c>
      <c r="D31" s="218">
        <v>188.9</v>
      </c>
      <c r="E31" s="218">
        <v>458.7</v>
      </c>
      <c r="F31" s="218">
        <v>821.9</v>
      </c>
      <c r="G31" s="218">
        <v>1248.5</v>
      </c>
      <c r="H31" s="219">
        <v>-25</v>
      </c>
      <c r="I31" s="216"/>
    </row>
    <row r="32" spans="1:9" ht="15">
      <c r="A32" s="221" t="s">
        <v>204</v>
      </c>
      <c r="B32" s="222">
        <v>0.7</v>
      </c>
      <c r="C32" s="222">
        <v>8.8000000000000007</v>
      </c>
      <c r="D32" s="222">
        <v>30.5</v>
      </c>
      <c r="E32" s="222">
        <v>71</v>
      </c>
      <c r="F32" s="222">
        <v>131.4</v>
      </c>
      <c r="G32" s="222">
        <v>210.9</v>
      </c>
      <c r="H32" s="224">
        <v>-4.2</v>
      </c>
      <c r="I32" s="216"/>
    </row>
    <row r="33" spans="1:9" ht="15">
      <c r="A33" s="217" t="s">
        <v>209</v>
      </c>
      <c r="B33" s="218">
        <v>0.7</v>
      </c>
      <c r="C33" s="218">
        <v>8.8000000000000007</v>
      </c>
      <c r="D33" s="218">
        <v>30.5</v>
      </c>
      <c r="E33" s="218">
        <v>71</v>
      </c>
      <c r="F33" s="218">
        <v>131.4</v>
      </c>
      <c r="G33" s="218">
        <v>210.9</v>
      </c>
      <c r="H33" s="225">
        <v>-4.2</v>
      </c>
      <c r="I33" s="216"/>
    </row>
    <row r="34" spans="1:9" ht="15">
      <c r="A34" s="221" t="s">
        <v>210</v>
      </c>
      <c r="B34" s="222">
        <v>0.7</v>
      </c>
      <c r="C34" s="222">
        <v>8.8000000000000007</v>
      </c>
      <c r="D34" s="222">
        <v>30.5</v>
      </c>
      <c r="E34" s="222">
        <v>71</v>
      </c>
      <c r="F34" s="222">
        <v>131.4</v>
      </c>
      <c r="G34" s="222">
        <v>210.9</v>
      </c>
      <c r="H34" s="224">
        <v>-4.2</v>
      </c>
      <c r="I34" s="216"/>
    </row>
    <row r="35" spans="1:9" ht="15">
      <c r="A35" s="217" t="s">
        <v>211</v>
      </c>
      <c r="B35" s="218">
        <v>0.7</v>
      </c>
      <c r="C35" s="218">
        <v>15</v>
      </c>
      <c r="D35" s="218">
        <v>58.4</v>
      </c>
      <c r="E35" s="218">
        <v>134.19999999999999</v>
      </c>
      <c r="F35" s="218">
        <v>238.5</v>
      </c>
      <c r="G35" s="218">
        <v>364.7</v>
      </c>
      <c r="H35" s="219">
        <v>-7.3</v>
      </c>
      <c r="I35" s="216"/>
    </row>
    <row r="36" spans="1:9" ht="14.5">
      <c r="A36" s="223" t="s">
        <v>194</v>
      </c>
      <c r="B36" s="222">
        <v>3.3</v>
      </c>
      <c r="C36" s="222">
        <v>78.5</v>
      </c>
      <c r="D36" s="222">
        <v>338.8</v>
      </c>
      <c r="E36" s="222">
        <v>805.8</v>
      </c>
      <c r="F36" s="222">
        <v>1454.7</v>
      </c>
      <c r="G36" s="222">
        <v>2245.9</v>
      </c>
      <c r="H36" s="220">
        <v>-44.9</v>
      </c>
      <c r="I36" s="216"/>
    </row>
    <row r="37" spans="1:9" ht="14.5">
      <c r="A37" s="251"/>
      <c r="B37" s="251"/>
      <c r="C37" s="251"/>
      <c r="D37" s="251"/>
      <c r="E37" s="251"/>
      <c r="F37" s="251"/>
      <c r="G37" s="251"/>
      <c r="H37" s="251"/>
      <c r="I37" s="216"/>
    </row>
    <row r="38" spans="1:9" ht="14.5">
      <c r="A38" s="248" t="s">
        <v>212</v>
      </c>
      <c r="B38" s="248"/>
      <c r="C38" s="248"/>
      <c r="D38" s="248"/>
      <c r="E38" s="248"/>
      <c r="F38" s="248"/>
      <c r="G38" s="248"/>
      <c r="H38" s="248"/>
      <c r="I38" s="216"/>
    </row>
    <row r="39" spans="1:9" ht="15">
      <c r="A39" s="217" t="s">
        <v>213</v>
      </c>
      <c r="B39" s="218">
        <v>0.1</v>
      </c>
      <c r="C39" s="218">
        <v>2.2000000000000002</v>
      </c>
      <c r="D39" s="218">
        <v>10</v>
      </c>
      <c r="E39" s="218">
        <v>26.7</v>
      </c>
      <c r="F39" s="218">
        <v>53.8</v>
      </c>
      <c r="G39" s="218">
        <v>91.5</v>
      </c>
      <c r="H39" s="219">
        <v>-1.8</v>
      </c>
      <c r="I39" s="216"/>
    </row>
    <row r="40" spans="1:9" ht="15">
      <c r="A40" s="221" t="s">
        <v>214</v>
      </c>
      <c r="B40" s="222">
        <v>0.3</v>
      </c>
      <c r="C40" s="222">
        <v>3.1</v>
      </c>
      <c r="D40" s="222">
        <v>10.4</v>
      </c>
      <c r="E40" s="222">
        <v>21.9</v>
      </c>
      <c r="F40" s="222">
        <v>36.6</v>
      </c>
      <c r="G40" s="222">
        <v>53.5</v>
      </c>
      <c r="H40" s="220">
        <v>-1.1000000000000001</v>
      </c>
      <c r="I40" s="216"/>
    </row>
    <row r="41" spans="1:9" ht="15">
      <c r="A41" s="217" t="s">
        <v>215</v>
      </c>
      <c r="B41" s="218">
        <v>0.3</v>
      </c>
      <c r="C41" s="218">
        <v>82.8</v>
      </c>
      <c r="D41" s="218">
        <v>547.5</v>
      </c>
      <c r="E41" s="218">
        <v>922.6</v>
      </c>
      <c r="F41" s="218">
        <v>1125.0999999999999</v>
      </c>
      <c r="G41" s="218">
        <v>1219.7</v>
      </c>
      <c r="H41" s="219">
        <v>-24.4</v>
      </c>
      <c r="I41" s="216"/>
    </row>
    <row r="42" spans="1:9" ht="14.5">
      <c r="A42" s="223" t="s">
        <v>194</v>
      </c>
      <c r="B42" s="222">
        <v>0.7</v>
      </c>
      <c r="C42" s="222">
        <v>88</v>
      </c>
      <c r="D42" s="222">
        <v>567.9</v>
      </c>
      <c r="E42" s="222">
        <v>971.1</v>
      </c>
      <c r="F42" s="222">
        <v>1215.5</v>
      </c>
      <c r="G42" s="222">
        <v>1364.6</v>
      </c>
      <c r="H42" s="220">
        <v>-27.3</v>
      </c>
      <c r="I42" s="216"/>
    </row>
    <row r="43" spans="1:9" ht="14.5">
      <c r="A43" s="223"/>
      <c r="B43" s="222"/>
      <c r="C43" s="222"/>
      <c r="D43" s="222"/>
      <c r="E43" s="222"/>
      <c r="F43" s="222"/>
      <c r="G43" s="222"/>
      <c r="H43" s="220"/>
      <c r="I43" s="216"/>
    </row>
    <row r="44" spans="1:9" s="227" customFormat="1">
      <c r="A44" s="229" t="s">
        <v>216</v>
      </c>
      <c r="B44" s="230"/>
      <c r="C44" s="230"/>
      <c r="D44" s="230"/>
      <c r="E44" s="230"/>
      <c r="F44" s="230"/>
      <c r="G44" s="230"/>
      <c r="H44" s="231"/>
      <c r="I44" s="228"/>
    </row>
    <row r="45" spans="1:9" ht="28">
      <c r="A45" s="232"/>
      <c r="B45" s="233" t="s">
        <v>217</v>
      </c>
      <c r="C45" s="233" t="s">
        <v>218</v>
      </c>
      <c r="D45" s="233" t="s">
        <v>219</v>
      </c>
      <c r="E45" s="234"/>
      <c r="F45" s="234"/>
      <c r="G45" s="234"/>
      <c r="H45" s="235"/>
      <c r="I45" s="3"/>
    </row>
    <row r="46" spans="1:9" ht="14.5">
      <c r="A46" s="223" t="s">
        <v>220</v>
      </c>
      <c r="B46" s="222">
        <f>B15*30</f>
        <v>1870.6474800000001</v>
      </c>
      <c r="C46" s="222">
        <v>0</v>
      </c>
      <c r="D46" s="222">
        <f>SUM(B46:C46)</f>
        <v>1870.6474800000001</v>
      </c>
      <c r="E46" s="222"/>
      <c r="F46" s="222"/>
      <c r="G46" s="222"/>
      <c r="H46" s="220"/>
      <c r="I46" s="216"/>
    </row>
    <row r="47" spans="1:9" ht="14.5">
      <c r="A47" s="223" t="s">
        <v>221</v>
      </c>
      <c r="B47" s="222">
        <f>C15*30</f>
        <v>-732.75217294692959</v>
      </c>
      <c r="C47" s="222">
        <v>0</v>
      </c>
      <c r="D47" s="222">
        <f t="shared" ref="D47:D49" si="0">SUM(B47:C47)</f>
        <v>-732.75217294692959</v>
      </c>
      <c r="E47" s="222"/>
      <c r="F47" s="222"/>
      <c r="G47" s="222"/>
      <c r="H47" s="220"/>
      <c r="I47" s="216"/>
    </row>
    <row r="48" spans="1:9" ht="14.5">
      <c r="A48" s="223" t="s">
        <v>222</v>
      </c>
      <c r="B48" s="222">
        <f>D15*30</f>
        <v>-742.0546746253965</v>
      </c>
      <c r="C48" s="222">
        <f>-1*E22</f>
        <v>-100.4</v>
      </c>
      <c r="D48" s="222">
        <f t="shared" si="0"/>
        <v>-842.45467462539648</v>
      </c>
      <c r="E48" s="222"/>
      <c r="F48" s="222"/>
      <c r="G48" s="222"/>
      <c r="H48" s="220"/>
      <c r="I48" s="216"/>
    </row>
    <row r="49" spans="1:9" ht="14.5">
      <c r="A49" s="223" t="s">
        <v>223</v>
      </c>
      <c r="B49" s="222">
        <f>E15*30</f>
        <v>-760.6415820121764</v>
      </c>
      <c r="C49" s="222">
        <f>-1*SUM(E28,E36,E42,E22)</f>
        <v>-2316.1</v>
      </c>
      <c r="D49" s="222">
        <f t="shared" si="0"/>
        <v>-3076.7415820121764</v>
      </c>
      <c r="E49" s="222"/>
      <c r="F49" s="222"/>
      <c r="G49" s="222"/>
      <c r="H49" s="220"/>
      <c r="I49" s="216"/>
    </row>
    <row r="50" spans="1:9" ht="14.5">
      <c r="A50" s="223"/>
      <c r="B50" s="222"/>
      <c r="C50" s="222"/>
      <c r="D50" s="222"/>
      <c r="E50" s="222"/>
      <c r="F50" s="222"/>
      <c r="G50" s="222"/>
      <c r="H50" s="220"/>
      <c r="I50" s="216"/>
    </row>
    <row r="51" spans="1:9" ht="14.5">
      <c r="A51" s="223"/>
      <c r="B51" s="222">
        <f>-25.4*30</f>
        <v>-762</v>
      </c>
      <c r="C51" s="222"/>
      <c r="D51" s="222"/>
      <c r="E51" s="222"/>
      <c r="F51" s="222"/>
      <c r="G51" s="222"/>
      <c r="H51" s="220"/>
      <c r="I51" s="216"/>
    </row>
    <row r="52" spans="1:9" ht="14.5">
      <c r="A52" s="223"/>
      <c r="B52" s="222"/>
      <c r="C52" s="222"/>
      <c r="D52" s="222"/>
      <c r="E52" s="222"/>
      <c r="F52" s="222"/>
      <c r="G52" s="222"/>
      <c r="H52" s="220"/>
      <c r="I52" s="216"/>
    </row>
    <row r="53" spans="1:9" ht="14.5">
      <c r="A53" s="223"/>
      <c r="B53" s="222"/>
      <c r="C53" s="222"/>
      <c r="D53" s="222"/>
      <c r="E53" s="222"/>
      <c r="F53" s="222"/>
      <c r="G53" s="222"/>
      <c r="H53" s="220"/>
      <c r="I53" s="216"/>
    </row>
    <row r="54" spans="1:9" ht="14.5">
      <c r="A54" s="223"/>
      <c r="B54" s="222"/>
      <c r="C54" s="222"/>
      <c r="D54" s="222"/>
      <c r="E54" s="222"/>
      <c r="F54" s="222"/>
      <c r="G54" s="222"/>
      <c r="H54" s="220"/>
      <c r="I54" s="216"/>
    </row>
    <row r="58" spans="1:9" ht="14.5">
      <c r="A58"/>
    </row>
    <row r="59" spans="1:9" ht="14.5">
      <c r="A59"/>
    </row>
    <row r="60" spans="1:9" ht="14.5">
      <c r="A60"/>
    </row>
  </sheetData>
  <mergeCells count="7">
    <mergeCell ref="A38:H38"/>
    <mergeCell ref="B19:G19"/>
    <mergeCell ref="A21:H21"/>
    <mergeCell ref="A24:H24"/>
    <mergeCell ref="A29:H29"/>
    <mergeCell ref="A30:H30"/>
    <mergeCell ref="A37:H3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FCD8-695C-417A-95E6-A3679F272C77}">
  <dimension ref="A1:D5"/>
  <sheetViews>
    <sheetView workbookViewId="0">
      <selection activeCell="I31" sqref="I31"/>
    </sheetView>
  </sheetViews>
  <sheetFormatPr defaultColWidth="8.81640625" defaultRowHeight="14"/>
  <cols>
    <col min="1" max="1" width="20.81640625" style="1" bestFit="1" customWidth="1"/>
    <col min="2" max="2" width="19.26953125" style="1" bestFit="1" customWidth="1"/>
    <col min="3" max="3" width="10.54296875" style="206" bestFit="1" customWidth="1"/>
    <col min="4" max="16384" width="8.81640625" style="1"/>
  </cols>
  <sheetData>
    <row r="1" spans="1:4" ht="17">
      <c r="B1" s="1" t="s">
        <v>194</v>
      </c>
      <c r="C1" s="206">
        <f>'2-Equations'!A13</f>
        <v>19540.79073212263</v>
      </c>
      <c r="D1" s="11" t="s">
        <v>224</v>
      </c>
    </row>
    <row r="2" spans="1:4">
      <c r="A2" s="1" t="s">
        <v>225</v>
      </c>
      <c r="B2" s="1" t="s">
        <v>226</v>
      </c>
      <c r="C2" s="206">
        <f>'2-Equations'!A20</f>
        <v>7471.9335481289581</v>
      </c>
      <c r="D2" s="207">
        <f>(C2/C$1)</f>
        <v>0.3823762124347419</v>
      </c>
    </row>
    <row r="3" spans="1:4">
      <c r="B3" s="1" t="s">
        <v>227</v>
      </c>
      <c r="C3" s="206">
        <f>'2-Equations'!A57</f>
        <v>7881.7787511428369</v>
      </c>
      <c r="D3" s="207">
        <f t="shared" ref="D3:D5" si="0">(C3/C$1)</f>
        <v>0.40335004141803599</v>
      </c>
    </row>
    <row r="4" spans="1:4">
      <c r="B4" s="1" t="s">
        <v>228</v>
      </c>
      <c r="C4" s="206">
        <f>'2-Equations'!A67</f>
        <v>146.71016834789197</v>
      </c>
      <c r="D4" s="207">
        <f t="shared" si="0"/>
        <v>7.5078931226011591E-3</v>
      </c>
    </row>
    <row r="5" spans="1:4">
      <c r="B5" s="1" t="s">
        <v>229</v>
      </c>
      <c r="C5" s="206">
        <f>'2-Equations'!A77</f>
        <v>4040.3682645029435</v>
      </c>
      <c r="D5" s="207">
        <f t="shared" si="0"/>
        <v>0.20676585302462097</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005E-1377-4782-9669-14BC36D61B94}">
  <dimension ref="A1:AL61"/>
  <sheetViews>
    <sheetView topLeftCell="A16" workbookViewId="0">
      <selection activeCell="B49" sqref="B49"/>
    </sheetView>
  </sheetViews>
  <sheetFormatPr defaultColWidth="8.7265625" defaultRowHeight="12.5"/>
  <cols>
    <col min="1" max="1" width="15.7265625" style="15" customWidth="1"/>
    <col min="2" max="2" width="13.7265625" style="15" customWidth="1"/>
    <col min="3" max="3" width="14.7265625" style="15" customWidth="1"/>
    <col min="4" max="4" width="16.453125" style="15" customWidth="1"/>
    <col min="5" max="5" width="7.7265625" style="15" customWidth="1"/>
    <col min="6" max="6" width="11.1796875" style="15" customWidth="1"/>
    <col min="7" max="7" width="10.26953125" style="15" customWidth="1"/>
    <col min="8" max="8" width="11" style="15" customWidth="1"/>
    <col min="9" max="9" width="14.453125" style="15" customWidth="1"/>
    <col min="10" max="20" width="8.7265625" style="15"/>
    <col min="21" max="21" width="9.54296875" style="15" customWidth="1"/>
    <col min="22" max="22" width="9.81640625" style="15" customWidth="1"/>
    <col min="23" max="23" width="8.7265625" style="15"/>
    <col min="24" max="24" width="16.81640625" style="15" customWidth="1"/>
    <col min="25" max="31" width="8.7265625" style="15"/>
    <col min="32" max="32" width="12.54296875" style="15" customWidth="1"/>
    <col min="33" max="35" width="8.7265625" style="15"/>
    <col min="36" max="36" width="7.26953125" style="15" customWidth="1"/>
    <col min="37" max="16384" width="8.7265625" style="15"/>
  </cols>
  <sheetData>
    <row r="1" spans="1:38" s="1" customFormat="1" ht="14">
      <c r="A1" s="1" t="s">
        <v>230</v>
      </c>
    </row>
    <row r="2" spans="1:38" s="1" customFormat="1" ht="14">
      <c r="A2" s="1" t="s">
        <v>231</v>
      </c>
    </row>
    <row r="3" spans="1:38" s="1" customFormat="1" ht="14">
      <c r="A3" s="1" t="s">
        <v>232</v>
      </c>
    </row>
    <row r="4" spans="1:38" s="140" customFormat="1" ht="15.5">
      <c r="C4" s="141" t="s">
        <v>233</v>
      </c>
      <c r="D4" s="141"/>
      <c r="E4" s="141"/>
      <c r="F4" s="141"/>
      <c r="G4" s="141"/>
      <c r="H4" s="141"/>
      <c r="I4" s="141"/>
      <c r="K4" s="141" t="s">
        <v>234</v>
      </c>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38" s="14" customFormat="1" ht="103.5">
      <c r="A5" s="242" t="s">
        <v>235</v>
      </c>
      <c r="B5" s="242" t="s">
        <v>236</v>
      </c>
      <c r="C5" s="129" t="s">
        <v>237</v>
      </c>
      <c r="D5" s="129" t="s">
        <v>238</v>
      </c>
      <c r="E5" s="129" t="s">
        <v>239</v>
      </c>
      <c r="F5" s="129" t="s">
        <v>240</v>
      </c>
      <c r="G5" s="242" t="s">
        <v>241</v>
      </c>
      <c r="H5" s="242" t="s">
        <v>242</v>
      </c>
      <c r="I5" s="165" t="s">
        <v>243</v>
      </c>
      <c r="K5" s="242" t="s">
        <v>244</v>
      </c>
      <c r="L5" s="242" t="s">
        <v>245</v>
      </c>
      <c r="M5" s="242" t="s">
        <v>246</v>
      </c>
      <c r="N5" s="242" t="s">
        <v>247</v>
      </c>
      <c r="O5" s="242" t="s">
        <v>248</v>
      </c>
      <c r="P5" s="242" t="s">
        <v>249</v>
      </c>
      <c r="Q5" s="242" t="s">
        <v>250</v>
      </c>
      <c r="R5" s="242" t="s">
        <v>251</v>
      </c>
      <c r="S5" s="242" t="s">
        <v>252</v>
      </c>
      <c r="T5" s="242" t="s">
        <v>253</v>
      </c>
      <c r="U5" s="242" t="s">
        <v>254</v>
      </c>
      <c r="V5" s="242" t="s">
        <v>255</v>
      </c>
      <c r="W5" s="242" t="s">
        <v>256</v>
      </c>
      <c r="X5" s="242" t="s">
        <v>257</v>
      </c>
      <c r="Y5" s="242" t="s">
        <v>258</v>
      </c>
      <c r="Z5" s="242" t="s">
        <v>259</v>
      </c>
      <c r="AA5" s="242" t="s">
        <v>260</v>
      </c>
      <c r="AB5" s="242" t="s">
        <v>261</v>
      </c>
      <c r="AC5" s="242" t="s">
        <v>262</v>
      </c>
      <c r="AD5" s="242" t="s">
        <v>263</v>
      </c>
      <c r="AE5" s="242" t="s">
        <v>264</v>
      </c>
      <c r="AF5" s="242" t="s">
        <v>265</v>
      </c>
      <c r="AG5" s="242" t="s">
        <v>266</v>
      </c>
      <c r="AH5" s="242" t="s">
        <v>267</v>
      </c>
      <c r="AI5" s="242" t="s">
        <v>268</v>
      </c>
      <c r="AJ5" s="242" t="s">
        <v>269</v>
      </c>
      <c r="AL5" s="165" t="s">
        <v>270</v>
      </c>
    </row>
    <row r="6" spans="1:38" s="14" customFormat="1" ht="21.5">
      <c r="B6" s="142" t="s">
        <v>271</v>
      </c>
      <c r="C6" s="129"/>
      <c r="D6" s="129"/>
      <c r="E6" s="129"/>
      <c r="F6" s="129"/>
      <c r="G6" s="15">
        <f>'2-Equations'!A37</f>
        <v>1849169.4414458273</v>
      </c>
      <c r="H6" s="14">
        <f>'2-Equations'!A46</f>
        <v>1359615.7614488488</v>
      </c>
      <c r="I6" s="129"/>
      <c r="W6">
        <v>1.1459999999999999</v>
      </c>
      <c r="X6">
        <f>'nonCO2 EFs'!C84</f>
        <v>1.6025180338115796E-2</v>
      </c>
      <c r="Y6">
        <v>6.4799999999999996E-2</v>
      </c>
      <c r="Z6" s="242" t="s">
        <v>24</v>
      </c>
      <c r="AA6" s="242">
        <f>SUM(W6:Y6)</f>
        <v>1.2268251803381156</v>
      </c>
      <c r="AB6" s="14">
        <v>1.421E-2</v>
      </c>
      <c r="AC6" s="14">
        <v>8.7000000000000001E-4</v>
      </c>
      <c r="AD6" s="14">
        <v>7.6999999999999996E-4</v>
      </c>
      <c r="AE6" s="14">
        <f>SUM(AB6:AD6)</f>
        <v>1.585E-2</v>
      </c>
      <c r="AF6" s="14">
        <v>1.37E-2</v>
      </c>
      <c r="AG6" s="14">
        <v>8.0000000000000004E-4</v>
      </c>
      <c r="AH6" s="14">
        <v>7.5000000000000002E-4</v>
      </c>
      <c r="AI6" s="14">
        <f>SUM(AF6:AH6)</f>
        <v>1.5250000000000001E-2</v>
      </c>
      <c r="AJ6" s="14">
        <f>'2-Equations'!A66</f>
        <v>76.599999999999994</v>
      </c>
    </row>
    <row r="7" spans="1:38" ht="14">
      <c r="A7" s="243" t="s">
        <v>272</v>
      </c>
      <c r="B7" s="15">
        <v>2007</v>
      </c>
      <c r="C7" s="130">
        <v>22.865639407597879</v>
      </c>
      <c r="D7" s="130">
        <v>17.073137862941504</v>
      </c>
      <c r="E7" s="130"/>
      <c r="F7" s="130"/>
      <c r="G7" s="130"/>
      <c r="H7" s="130"/>
      <c r="I7" s="130"/>
      <c r="K7" s="53">
        <v>1.08</v>
      </c>
      <c r="L7" s="53">
        <v>1.2</v>
      </c>
      <c r="M7" s="53">
        <v>1.4E-2</v>
      </c>
      <c r="N7" s="53">
        <v>1E-3</v>
      </c>
      <c r="O7" s="53">
        <v>3.0000000000000001E-3</v>
      </c>
      <c r="P7" s="53">
        <v>1.024</v>
      </c>
      <c r="Q7" s="53">
        <v>1.6279999999999999</v>
      </c>
      <c r="R7" s="53">
        <v>1.2999999999999999E-2</v>
      </c>
      <c r="S7" s="53">
        <v>1E-3</v>
      </c>
      <c r="T7" s="53">
        <v>3.0000000000000001E-3</v>
      </c>
    </row>
    <row r="8" spans="1:38" ht="14">
      <c r="A8" s="243" t="s">
        <v>272</v>
      </c>
      <c r="B8" s="15">
        <v>2008</v>
      </c>
      <c r="C8" s="131">
        <v>23.654817692277319</v>
      </c>
      <c r="D8" s="131">
        <v>17.336446788414928</v>
      </c>
      <c r="E8" s="131"/>
      <c r="F8" s="131"/>
      <c r="G8" s="131"/>
      <c r="H8" s="131"/>
      <c r="I8" s="131"/>
      <c r="K8" s="53">
        <v>1.0089999999999999</v>
      </c>
      <c r="L8" s="53">
        <v>1.133</v>
      </c>
      <c r="M8" s="53">
        <v>1.2999999999999999E-2</v>
      </c>
      <c r="N8" s="53">
        <v>1E-3</v>
      </c>
      <c r="O8" s="53">
        <v>3.0000000000000001E-3</v>
      </c>
      <c r="P8" s="53">
        <v>0.92500000000000004</v>
      </c>
      <c r="Q8" s="53">
        <v>1.512</v>
      </c>
      <c r="R8" s="53">
        <v>1.2E-2</v>
      </c>
      <c r="S8" s="53">
        <v>1E-3</v>
      </c>
      <c r="T8" s="53">
        <v>3.0000000000000001E-3</v>
      </c>
    </row>
    <row r="9" spans="1:38" ht="14">
      <c r="A9" s="243" t="s">
        <v>272</v>
      </c>
      <c r="B9" s="15">
        <v>2009</v>
      </c>
      <c r="C9" s="131">
        <v>23.532242432153808</v>
      </c>
      <c r="D9" s="131">
        <v>17.292756750601264</v>
      </c>
      <c r="E9" s="131"/>
      <c r="F9" s="131"/>
      <c r="G9" s="131"/>
      <c r="H9" s="131"/>
      <c r="I9" s="131"/>
      <c r="K9" s="53">
        <v>0.93500000000000005</v>
      </c>
      <c r="L9" s="53">
        <v>1.048</v>
      </c>
      <c r="M9" s="53">
        <v>1.2E-2</v>
      </c>
      <c r="N9" s="53">
        <v>1E-3</v>
      </c>
      <c r="O9" s="53">
        <v>3.0000000000000001E-3</v>
      </c>
      <c r="P9" s="53">
        <v>0.86899999999999999</v>
      </c>
      <c r="Q9" s="53">
        <v>1.4330000000000001</v>
      </c>
      <c r="R9" s="53">
        <v>1.2E-2</v>
      </c>
      <c r="S9" s="53">
        <v>1E-3</v>
      </c>
      <c r="T9" s="53">
        <v>3.0000000000000001E-3</v>
      </c>
      <c r="Z9" s="243"/>
    </row>
    <row r="10" spans="1:38" ht="14">
      <c r="A10" s="243" t="s">
        <v>272</v>
      </c>
      <c r="B10" s="15">
        <v>2010</v>
      </c>
      <c r="C10" s="132">
        <v>23.341158652912874</v>
      </c>
      <c r="D10" s="132">
        <v>17.177793762471715</v>
      </c>
      <c r="E10" s="132"/>
      <c r="F10" s="132"/>
      <c r="G10" s="132"/>
      <c r="H10" s="132"/>
      <c r="I10" s="132"/>
      <c r="K10" s="53">
        <v>0.85099999999999998</v>
      </c>
      <c r="L10" s="53">
        <v>0.95099999999999996</v>
      </c>
      <c r="M10" s="53">
        <v>1.0999999999999999E-2</v>
      </c>
      <c r="N10" s="53">
        <v>1E-3</v>
      </c>
      <c r="O10" s="53">
        <v>3.0000000000000001E-3</v>
      </c>
      <c r="P10" s="53">
        <v>0.80400000000000005</v>
      </c>
      <c r="Q10" s="53">
        <v>1.333</v>
      </c>
      <c r="R10" s="53">
        <v>1.0999999999999999E-2</v>
      </c>
      <c r="S10" s="53">
        <v>1E-3</v>
      </c>
      <c r="T10" s="53">
        <v>3.0000000000000001E-3</v>
      </c>
    </row>
    <row r="11" spans="1:38" ht="14">
      <c r="A11" s="243" t="s">
        <v>272</v>
      </c>
      <c r="B11" s="15">
        <v>2011</v>
      </c>
      <c r="C11" s="133">
        <v>23.079824263000699</v>
      </c>
      <c r="D11" s="133">
        <v>17.076253506261441</v>
      </c>
      <c r="E11" s="133"/>
      <c r="F11" s="133"/>
      <c r="G11" s="133"/>
      <c r="H11" s="133"/>
      <c r="I11" s="133"/>
      <c r="K11" s="53">
        <v>0.755</v>
      </c>
      <c r="L11" s="53">
        <v>0.82799999999999996</v>
      </c>
      <c r="M11" s="53">
        <v>0.01</v>
      </c>
      <c r="N11" s="53">
        <v>1E-3</v>
      </c>
      <c r="O11" s="53">
        <v>3.0000000000000001E-3</v>
      </c>
      <c r="P11" s="53">
        <v>0.76100000000000001</v>
      </c>
      <c r="Q11" s="53">
        <v>1.2430000000000001</v>
      </c>
      <c r="R11" s="53">
        <v>0.01</v>
      </c>
      <c r="S11" s="53">
        <v>1E-3</v>
      </c>
      <c r="T11" s="53">
        <v>3.0000000000000001E-3</v>
      </c>
    </row>
    <row r="12" spans="1:38" ht="14">
      <c r="A12" s="243" t="s">
        <v>272</v>
      </c>
      <c r="B12" s="15">
        <v>2012</v>
      </c>
      <c r="C12" s="135">
        <v>23.282424654257547</v>
      </c>
      <c r="D12" s="134">
        <v>17.122116849611885</v>
      </c>
      <c r="E12" s="134"/>
      <c r="F12" s="134"/>
      <c r="G12" s="134"/>
      <c r="H12" s="134"/>
      <c r="I12" s="134"/>
      <c r="K12" s="53">
        <v>0.59099999999999997</v>
      </c>
      <c r="L12" s="53">
        <v>0.63</v>
      </c>
      <c r="M12" s="53">
        <v>8.0000000000000002E-3</v>
      </c>
      <c r="N12" s="53">
        <v>1E-3</v>
      </c>
      <c r="O12" s="53">
        <v>3.0000000000000001E-3</v>
      </c>
      <c r="P12" s="53">
        <v>0.73699999999999999</v>
      </c>
      <c r="Q12" s="53">
        <v>1.1819999999999999</v>
      </c>
      <c r="R12" s="53">
        <v>0.01</v>
      </c>
      <c r="S12" s="53">
        <v>1E-3</v>
      </c>
      <c r="T12" s="53">
        <v>3.0000000000000001E-3</v>
      </c>
    </row>
    <row r="13" spans="1:38" ht="14">
      <c r="A13" s="243" t="s">
        <v>272</v>
      </c>
      <c r="B13" s="15">
        <v>2013</v>
      </c>
      <c r="C13" s="135">
        <v>23.410826426301576</v>
      </c>
      <c r="D13" s="135">
        <v>17.159732425881689</v>
      </c>
      <c r="E13" s="135"/>
      <c r="F13" s="135"/>
      <c r="G13" s="135"/>
      <c r="H13" s="135"/>
      <c r="I13" s="135"/>
      <c r="K13" s="53">
        <v>0.52900000000000003</v>
      </c>
      <c r="L13" s="53">
        <v>0.56200000000000006</v>
      </c>
      <c r="M13" s="53">
        <v>7.0000000000000001E-3</v>
      </c>
      <c r="N13" s="53">
        <v>1E-3</v>
      </c>
      <c r="O13" s="53">
        <v>3.0000000000000001E-3</v>
      </c>
      <c r="P13" s="53">
        <v>0.67800000000000005</v>
      </c>
      <c r="Q13" s="53">
        <v>1.0589999999999999</v>
      </c>
      <c r="R13" s="53">
        <v>8.9999999999999993E-3</v>
      </c>
      <c r="S13" s="53">
        <v>1E-3</v>
      </c>
      <c r="T13" s="53">
        <v>3.0000000000000001E-3</v>
      </c>
    </row>
    <row r="14" spans="1:38" ht="14">
      <c r="A14" s="243" t="s">
        <v>272</v>
      </c>
      <c r="B14" s="15">
        <v>2014</v>
      </c>
      <c r="C14" s="135">
        <v>23.203281716521573</v>
      </c>
      <c r="D14" s="135">
        <v>17.097833372547274</v>
      </c>
      <c r="E14" s="135"/>
      <c r="F14" s="135"/>
      <c r="G14" s="135"/>
      <c r="H14" s="135"/>
      <c r="I14" s="135"/>
      <c r="K14" s="53">
        <v>0.48199999999999998</v>
      </c>
      <c r="L14" s="53">
        <v>0.47899999999999998</v>
      </c>
      <c r="M14" s="53">
        <v>6.0000000000000001E-3</v>
      </c>
      <c r="N14" s="53">
        <v>1E-3</v>
      </c>
      <c r="O14" s="53">
        <v>3.0000000000000001E-3</v>
      </c>
      <c r="P14" s="53">
        <v>0.63</v>
      </c>
      <c r="Q14" s="53">
        <v>0.93799999999999994</v>
      </c>
      <c r="R14" s="53">
        <v>8.0000000000000002E-3</v>
      </c>
      <c r="S14" s="53">
        <v>1E-3</v>
      </c>
      <c r="T14" s="53">
        <v>3.0000000000000001E-3</v>
      </c>
    </row>
    <row r="15" spans="1:38" ht="14">
      <c r="A15" s="243" t="s">
        <v>272</v>
      </c>
      <c r="B15" s="15">
        <v>2015</v>
      </c>
      <c r="C15" s="135">
        <v>23.860232589427376</v>
      </c>
      <c r="D15" s="135">
        <v>17.341407097867872</v>
      </c>
      <c r="E15" s="135"/>
      <c r="F15" s="135"/>
      <c r="G15" s="135"/>
      <c r="H15" s="135"/>
      <c r="I15" s="135"/>
      <c r="K15" s="53">
        <v>0.433</v>
      </c>
      <c r="L15" s="53">
        <v>0.40100000000000002</v>
      </c>
      <c r="M15" s="53">
        <v>6.0000000000000001E-3</v>
      </c>
      <c r="N15" s="53">
        <v>1E-3</v>
      </c>
      <c r="O15" s="53">
        <v>3.0000000000000001E-3</v>
      </c>
      <c r="P15" s="53">
        <v>0.57399999999999995</v>
      </c>
      <c r="Q15" s="53">
        <v>0.81699999999999995</v>
      </c>
      <c r="R15" s="53">
        <v>8.0000000000000002E-3</v>
      </c>
      <c r="S15" s="53">
        <v>1E-3</v>
      </c>
      <c r="T15" s="53">
        <v>3.0000000000000001E-3</v>
      </c>
    </row>
    <row r="16" spans="1:38" ht="14">
      <c r="A16" s="243" t="s">
        <v>272</v>
      </c>
      <c r="B16" s="15">
        <v>2016</v>
      </c>
      <c r="C16" s="135">
        <v>23.956897997214828</v>
      </c>
      <c r="D16" s="135">
        <v>17.397560486833804</v>
      </c>
      <c r="E16" s="135"/>
      <c r="F16" s="135"/>
      <c r="G16" s="135"/>
      <c r="H16" s="135"/>
      <c r="I16" s="135"/>
      <c r="K16" s="53">
        <v>0.38800000000000001</v>
      </c>
      <c r="L16" s="53">
        <v>0.34300000000000003</v>
      </c>
      <c r="M16" s="53">
        <v>5.0000000000000001E-3</v>
      </c>
      <c r="N16" s="53">
        <v>1E-3</v>
      </c>
      <c r="O16" s="53">
        <v>3.0000000000000001E-3</v>
      </c>
      <c r="P16" s="53">
        <v>0.503</v>
      </c>
      <c r="Q16" s="53">
        <v>0.70299999999999996</v>
      </c>
      <c r="R16" s="53">
        <v>7.0000000000000001E-3</v>
      </c>
      <c r="S16" s="53">
        <v>1E-3</v>
      </c>
      <c r="T16" s="53">
        <v>3.0000000000000001E-3</v>
      </c>
    </row>
    <row r="17" spans="1:38" ht="14">
      <c r="A17" s="243" t="s">
        <v>272</v>
      </c>
      <c r="B17" s="15">
        <v>2017</v>
      </c>
      <c r="C17" s="135">
        <v>24.214896011187513</v>
      </c>
      <c r="D17" s="135">
        <v>17.524272594773368</v>
      </c>
      <c r="E17" s="135"/>
      <c r="F17" s="135"/>
      <c r="G17" s="135"/>
      <c r="H17" s="135"/>
      <c r="I17" s="135"/>
      <c r="K17" s="53">
        <v>0.35399999999999998</v>
      </c>
      <c r="L17" s="53">
        <v>0.28999999999999998</v>
      </c>
      <c r="M17" s="53">
        <v>5.0000000000000001E-3</v>
      </c>
      <c r="N17" s="53">
        <v>1E-3</v>
      </c>
      <c r="O17" s="53">
        <v>3.0000000000000001E-3</v>
      </c>
      <c r="P17" s="53">
        <v>0.45800000000000002</v>
      </c>
      <c r="Q17" s="53">
        <v>0.60699999999999998</v>
      </c>
      <c r="R17" s="53">
        <v>7.0000000000000001E-3</v>
      </c>
      <c r="S17" s="53">
        <v>1E-3</v>
      </c>
      <c r="T17" s="53">
        <v>3.0000000000000001E-3</v>
      </c>
    </row>
    <row r="18" spans="1:38" ht="14">
      <c r="A18" s="243" t="s">
        <v>272</v>
      </c>
      <c r="B18" s="15">
        <v>2018</v>
      </c>
      <c r="C18" s="135">
        <v>24.377132352989765</v>
      </c>
      <c r="D18" s="135">
        <v>17.867885189527225</v>
      </c>
      <c r="E18" s="135"/>
      <c r="F18" s="135"/>
      <c r="G18" s="135"/>
      <c r="H18" s="135"/>
      <c r="I18" s="135"/>
      <c r="K18" s="53">
        <v>0.32800000000000001</v>
      </c>
      <c r="L18" s="53">
        <v>0.25600000000000001</v>
      </c>
      <c r="M18" s="53">
        <v>5.0000000000000001E-3</v>
      </c>
      <c r="N18" s="53">
        <v>1E-3</v>
      </c>
      <c r="O18" s="53">
        <v>3.0000000000000001E-3</v>
      </c>
      <c r="P18" s="53">
        <v>0.41799999999999998</v>
      </c>
      <c r="Q18" s="53">
        <v>0.53300000000000003</v>
      </c>
      <c r="R18" s="53">
        <v>7.0000000000000001E-3</v>
      </c>
      <c r="S18" s="53">
        <v>1E-3</v>
      </c>
      <c r="T18" s="53">
        <v>3.0000000000000001E-3</v>
      </c>
    </row>
    <row r="19" spans="1:38" ht="14">
      <c r="A19" s="243" t="s">
        <v>272</v>
      </c>
      <c r="B19" s="15">
        <v>2019</v>
      </c>
      <c r="C19" s="135">
        <v>24.1293567223568</v>
      </c>
      <c r="D19" s="135">
        <v>17.611064404007401</v>
      </c>
      <c r="E19" s="135"/>
      <c r="F19" s="135"/>
      <c r="G19" s="135"/>
      <c r="H19" s="135"/>
      <c r="I19" s="135"/>
      <c r="K19" s="53">
        <v>0.30199999999999999</v>
      </c>
      <c r="L19" s="53">
        <v>0.215</v>
      </c>
      <c r="M19" s="53">
        <v>4.0000000000000001E-3</v>
      </c>
      <c r="N19" s="53">
        <v>1E-3</v>
      </c>
      <c r="O19" s="53">
        <v>3.0000000000000001E-3</v>
      </c>
      <c r="P19" s="53">
        <v>0.377</v>
      </c>
      <c r="Q19" s="53">
        <v>0.44500000000000001</v>
      </c>
      <c r="R19" s="53">
        <v>7.0000000000000001E-3</v>
      </c>
      <c r="S19" s="53">
        <v>1E-3</v>
      </c>
      <c r="T19" s="53">
        <v>3.0000000000000001E-3</v>
      </c>
    </row>
    <row r="20" spans="1:38" ht="14">
      <c r="A20" s="243" t="s">
        <v>272</v>
      </c>
      <c r="B20" s="15">
        <v>2020</v>
      </c>
      <c r="C20" s="135">
        <v>25.310267424713246</v>
      </c>
      <c r="D20" s="135">
        <v>18.168375811528577</v>
      </c>
      <c r="E20" s="135"/>
      <c r="F20" s="135"/>
      <c r="G20" s="135"/>
      <c r="H20" s="135"/>
      <c r="I20" s="135"/>
      <c r="K20" s="53">
        <v>0.28000000000000003</v>
      </c>
      <c r="L20" s="53">
        <v>0.192</v>
      </c>
      <c r="M20" s="53">
        <v>4.0000000000000001E-3</v>
      </c>
      <c r="N20" s="53">
        <v>1E-3</v>
      </c>
      <c r="O20" s="53">
        <v>3.0000000000000001E-3</v>
      </c>
      <c r="P20" s="53">
        <v>0.33900000000000002</v>
      </c>
      <c r="Q20" s="53">
        <v>0.376</v>
      </c>
      <c r="R20" s="53">
        <v>7.0000000000000001E-3</v>
      </c>
      <c r="S20" s="53">
        <v>1E-3</v>
      </c>
      <c r="T20" s="53">
        <v>3.0000000000000001E-3</v>
      </c>
    </row>
    <row r="21" spans="1:38" ht="14">
      <c r="A21" s="143" t="s">
        <v>273</v>
      </c>
      <c r="B21" s="15">
        <v>2021</v>
      </c>
      <c r="C21" s="136">
        <f>($B21*C$53)+C$54</f>
        <v>24.66341491650951</v>
      </c>
      <c r="D21" s="136">
        <f t="shared" ref="C21:D51" si="0">($B21*D$53)+D$54</f>
        <v>17.820851561341641</v>
      </c>
      <c r="E21" s="136"/>
      <c r="F21" s="136"/>
      <c r="G21" s="136"/>
      <c r="H21" s="136"/>
      <c r="I21" s="136"/>
      <c r="K21" s="15">
        <f>($B21*'nonCO2 EFs'!$AH$7)+'nonCO2 EFs'!$AI$7</f>
        <v>0.26303636363636684</v>
      </c>
      <c r="L21" s="15">
        <f>($B21*'nonCO2 EFs'!$AH$9)+'nonCO2 EFs'!$AI$9</f>
        <v>0.1653636363636366</v>
      </c>
      <c r="M21" s="15">
        <f>($B21*'nonCO2 EFs'!$AH$10)+'nonCO2 EFs'!$AI$10</f>
        <v>4.000000000000001E-3</v>
      </c>
      <c r="N21" s="53">
        <v>1E-3</v>
      </c>
      <c r="O21" s="53">
        <v>3.0000000000000001E-3</v>
      </c>
      <c r="P21" s="15">
        <f>($B21*'nonCO2 EFs'!$AH$14)+'nonCO2 EFs'!$AI$14</f>
        <v>0.31216363636363553</v>
      </c>
      <c r="Q21" s="15">
        <f>($B21*'nonCO2 EFs'!$AH$16)+'nonCO2 EFs'!$AI$16</f>
        <v>0.3194363636363633</v>
      </c>
      <c r="R21" s="15">
        <f>($B21*'nonCO2 EFs'!$AH$17)+'nonCO2 EFs'!$AI$17</f>
        <v>6.2545454545454571E-3</v>
      </c>
      <c r="S21" s="53">
        <v>1E-3</v>
      </c>
      <c r="T21" s="53">
        <v>3.0000000000000001E-3</v>
      </c>
    </row>
    <row r="22" spans="1:38" ht="14">
      <c r="A22" s="143" t="s">
        <v>273</v>
      </c>
      <c r="B22" s="15">
        <v>2022</v>
      </c>
      <c r="C22" s="136">
        <f t="shared" si="0"/>
        <v>24.787879778302084</v>
      </c>
      <c r="D22" s="136">
        <f t="shared" si="0"/>
        <v>17.880330465679862</v>
      </c>
      <c r="E22" s="138">
        <f>AVERAGE(C22:D22)</f>
        <v>21.334105121990973</v>
      </c>
      <c r="F22" s="138">
        <f>(1/E22)*MPG_Refs!E$59</f>
        <v>539.89328046045955</v>
      </c>
      <c r="G22" s="138"/>
      <c r="H22" s="138"/>
      <c r="I22" s="139">
        <f>F22*(G$6-H$6)</f>
        <v>264306742.25505877</v>
      </c>
      <c r="K22" s="15">
        <f>($B22*'nonCO2 EFs'!$AH$7)+'nonCO2 EFs'!$AI$7</f>
        <v>0.25087272727272847</v>
      </c>
      <c r="L22" s="15">
        <f>($B22*'nonCO2 EFs'!$AH$9)+'nonCO2 EFs'!$AI$9</f>
        <v>0.15192727272727069</v>
      </c>
      <c r="M22" s="15">
        <f>($B22*'nonCO2 EFs'!$AH$10)+'nonCO2 EFs'!$AI$10</f>
        <v>4.000000000000001E-3</v>
      </c>
      <c r="N22" s="53">
        <v>1E-3</v>
      </c>
      <c r="O22" s="53">
        <v>3.0000000000000001E-3</v>
      </c>
      <c r="P22" s="15">
        <f>($B22*'nonCO2 EFs'!$AH$14)+'nonCO2 EFs'!$AI$14</f>
        <v>0.29579393939393839</v>
      </c>
      <c r="Q22" s="15">
        <f>($B22*'nonCO2 EFs'!$AH$16)+'nonCO2 EFs'!$AI$16</f>
        <v>0.29187272727272529</v>
      </c>
      <c r="R22" s="15">
        <f>($B22*'nonCO2 EFs'!$AH$17)+'nonCO2 EFs'!$AI$17</f>
        <v>6.1090909090908974E-3</v>
      </c>
      <c r="S22" s="53">
        <v>1E-3</v>
      </c>
      <c r="T22" s="53">
        <v>3.0000000000000001E-3</v>
      </c>
      <c r="U22" s="144">
        <f>AVERAGE(SUM(K22:O22),SUM(P22:T22))/453.592</f>
        <v>1.1117653723784302E-3</v>
      </c>
      <c r="V22" s="150">
        <f>U22*('2-Equations'!A$37-'2-Equations'!A$46)</f>
        <v>544.26882934107164</v>
      </c>
      <c r="AL22" s="15">
        <f>(U22*(G$6-H$6))+(AA$6*('2-Equations'!A$55-'2-Equations'!A$56)*'2-Equations'!A$10)+((AE$6-AI$6)*AJ$6*'2-Equations'!A$10)</f>
        <v>1027.5794422161989</v>
      </c>
    </row>
    <row r="23" spans="1:38" ht="14">
      <c r="A23" s="143" t="s">
        <v>273</v>
      </c>
      <c r="B23" s="15">
        <v>2023</v>
      </c>
      <c r="C23" s="136">
        <f t="shared" si="0"/>
        <v>24.912344640094631</v>
      </c>
      <c r="D23" s="136">
        <f t="shared" si="0"/>
        <v>17.939809370018082</v>
      </c>
      <c r="E23" s="138">
        <f t="shared" ref="E23:E51" si="1">AVERAGE(C23:D23)</f>
        <v>21.426077005056356</v>
      </c>
      <c r="F23" s="138">
        <f>(1/E23)*MPG_Refs!E$59</f>
        <v>537.57577727746536</v>
      </c>
      <c r="G23" s="138"/>
      <c r="H23" s="138"/>
      <c r="I23" s="139">
        <f t="shared" ref="I23:I51" si="2">F23*(G$6-H$6)</f>
        <v>263172200.04341927</v>
      </c>
      <c r="K23" s="15">
        <f>($B23*'nonCO2 EFs'!$AH$7)+'nonCO2 EFs'!$AI$7</f>
        <v>0.23870909090909365</v>
      </c>
      <c r="L23" s="15">
        <f>($B23*'nonCO2 EFs'!$AH$9)+'nonCO2 EFs'!$AI$9</f>
        <v>0.13849090909090833</v>
      </c>
      <c r="M23" s="15">
        <f>($B23*'nonCO2 EFs'!$AH$10)+'nonCO2 EFs'!$AI$10</f>
        <v>4.000000000000001E-3</v>
      </c>
      <c r="N23" s="53">
        <v>1E-3</v>
      </c>
      <c r="O23" s="53">
        <v>3.0000000000000001E-3</v>
      </c>
      <c r="P23" s="15">
        <f>($B23*'nonCO2 EFs'!$AH$14)+'nonCO2 EFs'!$AI$14</f>
        <v>0.27942424242424124</v>
      </c>
      <c r="Q23" s="15">
        <f>($B23*'nonCO2 EFs'!$AH$16)+'nonCO2 EFs'!$AI$16</f>
        <v>0.26430909090908727</v>
      </c>
      <c r="R23" s="15">
        <f>($B23*'nonCO2 EFs'!$AH$17)+'nonCO2 EFs'!$AI$17</f>
        <v>5.9636363636363932E-3</v>
      </c>
      <c r="S23" s="53">
        <v>1E-3</v>
      </c>
      <c r="T23" s="53">
        <v>3.0000000000000001E-3</v>
      </c>
      <c r="U23" s="144">
        <f t="shared" ref="U23:U51" si="3">AVERAGE(SUM(K23:O23),SUM(P23:T23))/453.592</f>
        <v>1.0349575937152408E-3</v>
      </c>
      <c r="V23" s="150">
        <f>U23*('2-Equations'!A$37-'2-Equations'!A$46)</f>
        <v>506.66729864411388</v>
      </c>
      <c r="AL23" s="15">
        <f>(U23*(G$6-H$6))+(AA$6*('2-Equations'!A$55-'2-Equations'!A$56)*'2-Equations'!A$10)+((AE$6-AI$6)*AJ$6*'2-Equations'!A$10)</f>
        <v>989.97791151924105</v>
      </c>
    </row>
    <row r="24" spans="1:38" ht="14">
      <c r="A24" s="143" t="s">
        <v>273</v>
      </c>
      <c r="B24" s="15">
        <v>2024</v>
      </c>
      <c r="C24" s="136">
        <f t="shared" si="0"/>
        <v>25.036809501887205</v>
      </c>
      <c r="D24" s="136">
        <f t="shared" si="0"/>
        <v>17.999288274356303</v>
      </c>
      <c r="E24" s="138">
        <f t="shared" si="1"/>
        <v>21.518048888121754</v>
      </c>
      <c r="F24" s="138">
        <f>(1/E24)*MPG_Refs!E$59</f>
        <v>535.27808491773453</v>
      </c>
      <c r="G24" s="138"/>
      <c r="H24" s="138"/>
      <c r="I24" s="139">
        <f t="shared" si="2"/>
        <v>262047356.29321209</v>
      </c>
      <c r="K24" s="15">
        <f>($B24*'nonCO2 EFs'!$AH$7)+'nonCO2 EFs'!$AI$7</f>
        <v>0.22654545454545527</v>
      </c>
      <c r="L24" s="15">
        <f>($B24*'nonCO2 EFs'!$AH$9)+'nonCO2 EFs'!$AI$9</f>
        <v>0.12505454545454597</v>
      </c>
      <c r="M24" s="15">
        <f>($B24*'nonCO2 EFs'!$AH$10)+'nonCO2 EFs'!$AI$10</f>
        <v>4.000000000000001E-3</v>
      </c>
      <c r="N24" s="53">
        <v>1E-3</v>
      </c>
      <c r="O24" s="53">
        <v>3.0000000000000001E-3</v>
      </c>
      <c r="P24" s="15">
        <f>($B24*'nonCO2 EFs'!$AH$14)+'nonCO2 EFs'!$AI$14</f>
        <v>0.2630545454545441</v>
      </c>
      <c r="Q24" s="15">
        <f>($B24*'nonCO2 EFs'!$AH$16)+'nonCO2 EFs'!$AI$16</f>
        <v>0.23674545454544926</v>
      </c>
      <c r="R24" s="15">
        <f>($B24*'nonCO2 EFs'!$AH$17)+'nonCO2 EFs'!$AI$17</f>
        <v>5.8181818181818334E-3</v>
      </c>
      <c r="S24" s="53">
        <v>1E-3</v>
      </c>
      <c r="T24" s="53">
        <v>3.0000000000000001E-3</v>
      </c>
      <c r="U24" s="144">
        <f t="shared" si="3"/>
        <v>9.5814981505204727E-4</v>
      </c>
      <c r="V24" s="150">
        <f>U24*('2-Equations'!A$37-'2-Equations'!A$46)</f>
        <v>469.06576794715409</v>
      </c>
      <c r="AL24" s="15">
        <f>(U24*(G$6-H$6))+(AA$6*('2-Equations'!A$55-'2-Equations'!A$56)*'2-Equations'!A$10)+((AE$6-AI$6)*AJ$6*'2-Equations'!A$10)</f>
        <v>952.37638082228125</v>
      </c>
    </row>
    <row r="25" spans="1:38" ht="14">
      <c r="A25" s="143" t="s">
        <v>273</v>
      </c>
      <c r="B25" s="15">
        <v>2025</v>
      </c>
      <c r="C25" s="136">
        <f t="shared" si="0"/>
        <v>25.16127436367978</v>
      </c>
      <c r="D25" s="136">
        <f t="shared" si="0"/>
        <v>18.058767178694509</v>
      </c>
      <c r="E25" s="138">
        <f t="shared" si="1"/>
        <v>21.610020771187145</v>
      </c>
      <c r="F25" s="138">
        <f>(1/E25)*MPG_Refs!E$59</f>
        <v>532.99995043768081</v>
      </c>
      <c r="G25" s="138"/>
      <c r="H25" s="138"/>
      <c r="I25" s="139">
        <f t="shared" si="2"/>
        <v>260932087.17497379</v>
      </c>
      <c r="K25" s="15">
        <f>($B25*'nonCO2 EFs'!$AH$7)+'nonCO2 EFs'!$AI$7</f>
        <v>0.21438181818182045</v>
      </c>
      <c r="L25" s="15">
        <f>($B25*'nonCO2 EFs'!$AH$9)+'nonCO2 EFs'!$AI$9</f>
        <v>0.11161818181818006</v>
      </c>
      <c r="M25" s="15">
        <f>($B25*'nonCO2 EFs'!$AH$10)+'nonCO2 EFs'!$AI$10</f>
        <v>4.000000000000001E-3</v>
      </c>
      <c r="N25" s="53">
        <v>1E-3</v>
      </c>
      <c r="O25" s="53">
        <v>3.0000000000000001E-3</v>
      </c>
      <c r="P25" s="15">
        <f>($B25*'nonCO2 EFs'!$AH$14)+'nonCO2 EFs'!$AI$14</f>
        <v>0.24668484848484695</v>
      </c>
      <c r="Q25" s="15">
        <f>($B25*'nonCO2 EFs'!$AH$16)+'nonCO2 EFs'!$AI$16</f>
        <v>0.20918181818181836</v>
      </c>
      <c r="R25" s="15">
        <f>($B25*'nonCO2 EFs'!$AH$17)+'nonCO2 EFs'!$AI$17</f>
        <v>5.6727272727272737E-3</v>
      </c>
      <c r="S25" s="53">
        <v>1E-3</v>
      </c>
      <c r="T25" s="53">
        <v>3.0000000000000001E-3</v>
      </c>
      <c r="U25" s="144">
        <f t="shared" si="3"/>
        <v>8.8134203638886167E-4</v>
      </c>
      <c r="V25" s="150">
        <f>U25*('2-Equations'!A$37-'2-Equations'!A$46)</f>
        <v>431.46423725019815</v>
      </c>
      <c r="AL25" s="15">
        <f>(U25*(G$6-H$6))+(AA$6*('2-Equations'!A$55-'2-Equations'!A$56)*'2-Equations'!A$10)+((AE$6-AI$6)*AJ$6*'2-Equations'!A$10)</f>
        <v>914.77485012532532</v>
      </c>
    </row>
    <row r="26" spans="1:38" ht="14">
      <c r="A26" s="143" t="s">
        <v>273</v>
      </c>
      <c r="B26" s="15">
        <v>2026</v>
      </c>
      <c r="C26" s="136">
        <f t="shared" si="0"/>
        <v>25.285739225472355</v>
      </c>
      <c r="D26" s="136">
        <f t="shared" si="0"/>
        <v>18.11824608303273</v>
      </c>
      <c r="E26" s="138">
        <f t="shared" si="1"/>
        <v>21.701992654252543</v>
      </c>
      <c r="F26" s="138">
        <f>(1/E26)*MPG_Refs!E$59</f>
        <v>530.74112518156255</v>
      </c>
      <c r="G26" s="138"/>
      <c r="H26" s="138"/>
      <c r="I26" s="139">
        <f t="shared" si="2"/>
        <v>259826270.95837098</v>
      </c>
      <c r="K26" s="15">
        <f>($B26*'nonCO2 EFs'!$AH$7)+'nonCO2 EFs'!$AI$7</f>
        <v>0.20221818181818563</v>
      </c>
      <c r="L26" s="15">
        <f>($B26*'nonCO2 EFs'!$AH$9)+'nonCO2 EFs'!$AI$9</f>
        <v>9.8181818181817704E-2</v>
      </c>
      <c r="M26" s="15">
        <f>($B26*'nonCO2 EFs'!$AH$10)+'nonCO2 EFs'!$AI$10</f>
        <v>4.000000000000001E-3</v>
      </c>
      <c r="N26" s="53">
        <v>1E-3</v>
      </c>
      <c r="O26" s="53">
        <v>3.0000000000000001E-3</v>
      </c>
      <c r="P26" s="15">
        <f>($B26*'nonCO2 EFs'!$AH$14)+'nonCO2 EFs'!$AI$14</f>
        <v>0.23031515151514981</v>
      </c>
      <c r="Q26" s="15">
        <f>($B26*'nonCO2 EFs'!$AH$16)+'nonCO2 EFs'!$AI$16</f>
        <v>0.18161818181818035</v>
      </c>
      <c r="R26" s="15">
        <f>($B26*'nonCO2 EFs'!$AH$17)+'nonCO2 EFs'!$AI$17</f>
        <v>5.527272727272714E-3</v>
      </c>
      <c r="S26" s="53">
        <v>1E-3</v>
      </c>
      <c r="T26" s="53">
        <v>3.0000000000000001E-3</v>
      </c>
      <c r="U26" s="144">
        <f t="shared" si="3"/>
        <v>8.0453425772567227E-4</v>
      </c>
      <c r="V26" s="150">
        <f>U26*('2-Equations'!A$37-'2-Equations'!A$46)</f>
        <v>393.8627065532404</v>
      </c>
      <c r="AL26" s="15">
        <f>(U26*(G$6-H$6))+(AA$6*('2-Equations'!A$55-'2-Equations'!A$56)*'2-Equations'!A$10)+((AE$6-AI$6)*AJ$6*'2-Equations'!A$10)</f>
        <v>877.17331942836756</v>
      </c>
    </row>
    <row r="27" spans="1:38" ht="14">
      <c r="A27" s="143" t="s">
        <v>273</v>
      </c>
      <c r="B27" s="15">
        <v>2027</v>
      </c>
      <c r="C27" s="136">
        <f t="shared" si="0"/>
        <v>25.41020408726493</v>
      </c>
      <c r="D27" s="136">
        <f t="shared" si="0"/>
        <v>18.177724987370951</v>
      </c>
      <c r="E27" s="138">
        <f t="shared" si="1"/>
        <v>21.79396453731794</v>
      </c>
      <c r="F27" s="138">
        <f>(1/E27)*MPG_Refs!E$59</f>
        <v>528.5013646910096</v>
      </c>
      <c r="G27" s="138"/>
      <c r="H27" s="138"/>
      <c r="I27" s="139">
        <f t="shared" si="2"/>
        <v>258729787.96790895</v>
      </c>
      <c r="K27" s="15">
        <f>($B27*'nonCO2 EFs'!$AH$7)+'nonCO2 EFs'!$AI$7</f>
        <v>0.19005454545454725</v>
      </c>
      <c r="L27" s="15">
        <f>($B27*'nonCO2 EFs'!$AH$9)+'nonCO2 EFs'!$AI$9</f>
        <v>8.4745454545455345E-2</v>
      </c>
      <c r="M27" s="15">
        <f>($B27*'nonCO2 EFs'!$AH$10)+'nonCO2 EFs'!$AI$10</f>
        <v>4.000000000000001E-3</v>
      </c>
      <c r="N27" s="53">
        <v>1E-3</v>
      </c>
      <c r="O27" s="53">
        <v>3.0000000000000001E-3</v>
      </c>
      <c r="P27" s="15">
        <f>($B27*'nonCO2 EFs'!$AH$14)+'nonCO2 EFs'!$AI$14</f>
        <v>0.21394545454545266</v>
      </c>
      <c r="Q27" s="15">
        <f>($B27*'nonCO2 EFs'!$AH$16)+'nonCO2 EFs'!$AI$16</f>
        <v>0.15405454545454234</v>
      </c>
      <c r="R27" s="15">
        <f>($B27*'nonCO2 EFs'!$AH$17)+'nonCO2 EFs'!$AI$17</f>
        <v>5.3818181818182098E-3</v>
      </c>
      <c r="S27" s="53">
        <v>1E-3</v>
      </c>
      <c r="T27" s="53">
        <v>3.0000000000000001E-3</v>
      </c>
      <c r="U27" s="144">
        <f t="shared" si="3"/>
        <v>7.2772647906247886E-4</v>
      </c>
      <c r="V27" s="150">
        <f>U27*('2-Equations'!A$37-'2-Equations'!A$46)</f>
        <v>356.26117585628066</v>
      </c>
      <c r="AL27" s="15">
        <f>(U27*(G$6-H$6))+(AA$6*('2-Equations'!A$55-'2-Equations'!A$56)*'2-Equations'!A$10)+((AE$6-AI$6)*AJ$6*'2-Equations'!A$10)</f>
        <v>839.57178873140776</v>
      </c>
    </row>
    <row r="28" spans="1:38" ht="14">
      <c r="A28" s="143" t="s">
        <v>273</v>
      </c>
      <c r="B28" s="15">
        <v>2028</v>
      </c>
      <c r="C28" s="136">
        <f t="shared" si="0"/>
        <v>25.534668949057505</v>
      </c>
      <c r="D28" s="136">
        <f t="shared" si="0"/>
        <v>18.237203891709171</v>
      </c>
      <c r="E28" s="138">
        <f t="shared" si="1"/>
        <v>21.885936420383338</v>
      </c>
      <c r="F28" s="138">
        <f>(1/E28)*MPG_Refs!E$59</f>
        <v>526.28042861682843</v>
      </c>
      <c r="G28" s="138"/>
      <c r="H28" s="138"/>
      <c r="I28" s="139">
        <f t="shared" si="2"/>
        <v>257642520.53975549</v>
      </c>
      <c r="K28" s="15">
        <f>($B28*'nonCO2 EFs'!$AH$7)+'nonCO2 EFs'!$AI$7</f>
        <v>0.17789090909091243</v>
      </c>
      <c r="L28" s="15">
        <f>($B28*'nonCO2 EFs'!$AH$9)+'nonCO2 EFs'!$AI$9</f>
        <v>7.1309090909089434E-2</v>
      </c>
      <c r="M28" s="15">
        <f>($B28*'nonCO2 EFs'!$AH$10)+'nonCO2 EFs'!$AI$10</f>
        <v>4.000000000000001E-3</v>
      </c>
      <c r="N28" s="53">
        <v>1E-3</v>
      </c>
      <c r="O28" s="53">
        <v>3.0000000000000001E-3</v>
      </c>
      <c r="P28" s="15">
        <f>($B28*'nonCO2 EFs'!$AH$14)+'nonCO2 EFs'!$AI$14</f>
        <v>0.19757575757576262</v>
      </c>
      <c r="Q28" s="15">
        <f>($B28*'nonCO2 EFs'!$AH$16)+'nonCO2 EFs'!$AI$16</f>
        <v>0.12649090909090432</v>
      </c>
      <c r="R28" s="15">
        <f>($B28*'nonCO2 EFs'!$AH$17)+'nonCO2 EFs'!$AI$17</f>
        <v>5.2363636363636501E-3</v>
      </c>
      <c r="S28" s="53">
        <v>1E-3</v>
      </c>
      <c r="T28" s="53">
        <v>3.0000000000000001E-3</v>
      </c>
      <c r="U28" s="144">
        <f t="shared" si="3"/>
        <v>6.5091870039929336E-4</v>
      </c>
      <c r="V28" s="150">
        <f>U28*('2-Equations'!A$37-'2-Equations'!A$46)</f>
        <v>318.65964515932478</v>
      </c>
      <c r="AL28" s="15">
        <f>(U28*(G$6-H$6))+(AA$6*('2-Equations'!A$55-'2-Equations'!A$56)*'2-Equations'!A$10)+((AE$6-AI$6)*AJ$6*'2-Equations'!A$10)</f>
        <v>801.97025803445194</v>
      </c>
    </row>
    <row r="29" spans="1:38" ht="14">
      <c r="A29" s="143" t="s">
        <v>273</v>
      </c>
      <c r="B29" s="15">
        <v>2029</v>
      </c>
      <c r="C29" s="136">
        <f t="shared" si="0"/>
        <v>25.659133810850079</v>
      </c>
      <c r="D29" s="136">
        <f t="shared" si="0"/>
        <v>18.296682796047392</v>
      </c>
      <c r="E29" s="138">
        <f t="shared" si="1"/>
        <v>21.977908303448736</v>
      </c>
      <c r="F29" s="138">
        <f>(1/E29)*MPG_Refs!E$59</f>
        <v>524.07808063302332</v>
      </c>
      <c r="G29" s="138"/>
      <c r="H29" s="138"/>
      <c r="I29" s="139">
        <f t="shared" si="2"/>
        <v>256564352.97964978</v>
      </c>
      <c r="K29" s="15">
        <f>($B29*'nonCO2 EFs'!$AH$7)+'nonCO2 EFs'!$AI$7</f>
        <v>0.16572727272727406</v>
      </c>
      <c r="L29" s="15">
        <f>($B29*'nonCO2 EFs'!$AH$9)+'nonCO2 EFs'!$AI$9</f>
        <v>5.7872727272727076E-2</v>
      </c>
      <c r="M29" s="15">
        <f>($B29*'nonCO2 EFs'!$AH$10)+'nonCO2 EFs'!$AI$10</f>
        <v>4.000000000000001E-3</v>
      </c>
      <c r="N29" s="53">
        <v>1E-3</v>
      </c>
      <c r="O29" s="53">
        <v>3.0000000000000001E-3</v>
      </c>
      <c r="P29" s="15">
        <f>($B29*'nonCO2 EFs'!$AH$14)+'nonCO2 EFs'!$AI$14</f>
        <v>0.18120606060606548</v>
      </c>
      <c r="Q29" s="15">
        <f>($B29*'nonCO2 EFs'!$AH$16)+'nonCO2 EFs'!$AI$16</f>
        <v>9.8927272727273419E-2</v>
      </c>
      <c r="R29" s="15">
        <f>($B29*'nonCO2 EFs'!$AH$17)+'nonCO2 EFs'!$AI$17</f>
        <v>5.0909090909090904E-3</v>
      </c>
      <c r="S29" s="53">
        <v>1E-3</v>
      </c>
      <c r="T29" s="53">
        <v>3.0000000000000001E-3</v>
      </c>
      <c r="U29" s="144">
        <f t="shared" si="3"/>
        <v>5.7411092173610765E-4</v>
      </c>
      <c r="V29" s="150">
        <f>U29*('2-Equations'!A$37-'2-Equations'!A$46)</f>
        <v>281.05811446236879</v>
      </c>
      <c r="AL29" s="15">
        <f>(U29*(G$6-H$6))+(AA$6*('2-Equations'!A$55-'2-Equations'!A$56)*'2-Equations'!A$10)+((AE$6-AI$6)*AJ$6*'2-Equations'!A$10)</f>
        <v>764.3687273374959</v>
      </c>
    </row>
    <row r="30" spans="1:38" ht="14">
      <c r="A30" s="143" t="s">
        <v>273</v>
      </c>
      <c r="B30" s="15">
        <v>2030</v>
      </c>
      <c r="C30" s="136">
        <f t="shared" si="0"/>
        <v>25.783598672642654</v>
      </c>
      <c r="D30" s="136">
        <f t="shared" si="0"/>
        <v>18.356161700385613</v>
      </c>
      <c r="E30" s="138">
        <f t="shared" si="1"/>
        <v>22.069880186514133</v>
      </c>
      <c r="F30" s="138">
        <f>(1/E30)*MPG_Refs!E$59</f>
        <v>521.89408835296683</v>
      </c>
      <c r="G30" s="138"/>
      <c r="H30" s="138"/>
      <c r="I30" s="139">
        <f t="shared" si="2"/>
        <v>255495171.52186313</v>
      </c>
      <c r="K30" s="15">
        <f>($B30*'nonCO2 EFs'!$AH$7)+'nonCO2 EFs'!$AI$7</f>
        <v>0.15356363636363923</v>
      </c>
      <c r="L30" s="15">
        <f>($B30*'nonCO2 EFs'!$AH$9)+'nonCO2 EFs'!$AI$9</f>
        <v>4.4436363636361165E-2</v>
      </c>
      <c r="M30" s="15">
        <f>($B30*'nonCO2 EFs'!$AH$10)+'nonCO2 EFs'!$AI$10</f>
        <v>4.000000000000001E-3</v>
      </c>
      <c r="N30" s="53">
        <v>1E-3</v>
      </c>
      <c r="O30" s="53">
        <v>3.0000000000000001E-3</v>
      </c>
      <c r="P30" s="15">
        <f>($B30*'nonCO2 EFs'!$AH$14)+'nonCO2 EFs'!$AI$14</f>
        <v>0.16483636363636833</v>
      </c>
      <c r="Q30" s="15">
        <f>($B30*'nonCO2 EFs'!$AH$16)+'nonCO2 EFs'!$AI$16</f>
        <v>7.1363636363635408E-2</v>
      </c>
      <c r="R30" s="15">
        <f>($B30*'nonCO2 EFs'!$AH$17)+'nonCO2 EFs'!$AI$17</f>
        <v>4.9454545454545307E-3</v>
      </c>
      <c r="S30" s="53">
        <v>1E-3</v>
      </c>
      <c r="T30" s="53">
        <v>3.0000000000000001E-3</v>
      </c>
      <c r="U30" s="144">
        <f t="shared" si="3"/>
        <v>4.9730314307291435E-4</v>
      </c>
      <c r="V30" s="150">
        <f>U30*('2-Equations'!A$37-'2-Equations'!A$46)</f>
        <v>243.45658376540914</v>
      </c>
      <c r="AL30" s="15">
        <f>(U30*(G$6-H$6))+(AA$6*('2-Equations'!A$55-'2-Equations'!A$56)*'2-Equations'!A$10)+((AE$6-AI$6)*AJ$6*'2-Equations'!A$10)</f>
        <v>726.76719664053633</v>
      </c>
    </row>
    <row r="31" spans="1:38" ht="14">
      <c r="A31" s="143" t="s">
        <v>273</v>
      </c>
      <c r="B31" s="15">
        <v>2031</v>
      </c>
      <c r="C31" s="136">
        <f t="shared" si="0"/>
        <v>25.908063534435229</v>
      </c>
      <c r="D31" s="136">
        <f t="shared" si="0"/>
        <v>18.415640604723833</v>
      </c>
      <c r="E31" s="138">
        <f t="shared" si="1"/>
        <v>22.161852069579531</v>
      </c>
      <c r="F31" s="138">
        <f>(1/E31)*MPG_Refs!E$59</f>
        <v>519.72822324765787</v>
      </c>
      <c r="G31" s="138"/>
      <c r="H31" s="138"/>
      <c r="I31" s="139">
        <f t="shared" si="2"/>
        <v>254434864.2891821</v>
      </c>
      <c r="K31" s="15">
        <f>($B31*'nonCO2 EFs'!$AH$7)+'nonCO2 EFs'!$AI$7</f>
        <v>0.14140000000000086</v>
      </c>
      <c r="L31" s="15">
        <f>($B31*'nonCO2 EFs'!$AH$9)+'nonCO2 EFs'!$AI$9</f>
        <v>3.0999999999998806E-2</v>
      </c>
      <c r="M31" s="15">
        <f>($B31*'nonCO2 EFs'!$AH$10)+'nonCO2 EFs'!$AI$10</f>
        <v>4.000000000000001E-3</v>
      </c>
      <c r="N31" s="53">
        <v>1E-3</v>
      </c>
      <c r="O31" s="53">
        <v>3.0000000000000001E-3</v>
      </c>
      <c r="P31" s="15">
        <f>($B31*'nonCO2 EFs'!$AH$14)+'nonCO2 EFs'!$AI$14</f>
        <v>0.14846666666667119</v>
      </c>
      <c r="Q31" s="15">
        <f>($B31*'nonCO2 EFs'!$AH$16)+'nonCO2 EFs'!$AI$16</f>
        <v>4.3799999999997397E-2</v>
      </c>
      <c r="R31" s="15">
        <f>($B31*'nonCO2 EFs'!$AH$17)+'nonCO2 EFs'!$AI$17</f>
        <v>4.8000000000000265E-3</v>
      </c>
      <c r="S31" s="53">
        <v>1E-3</v>
      </c>
      <c r="T31" s="53">
        <v>3.0000000000000001E-3</v>
      </c>
      <c r="U31" s="144">
        <f t="shared" si="3"/>
        <v>4.2049536440972094E-4</v>
      </c>
      <c r="V31" s="150">
        <f>U31*('2-Equations'!A$37-'2-Equations'!A$46)</f>
        <v>205.85505306844939</v>
      </c>
      <c r="AL31" s="15">
        <f>(U31*(G$6-H$6))+(AA$6*('2-Equations'!A$55-'2-Equations'!A$56)*'2-Equations'!A$10)+((AE$6-AI$6)*AJ$6*'2-Equations'!A$10)</f>
        <v>689.16566594357653</v>
      </c>
    </row>
    <row r="32" spans="1:38" ht="14">
      <c r="A32" s="143" t="s">
        <v>273</v>
      </c>
      <c r="B32" s="15">
        <v>2032</v>
      </c>
      <c r="C32" s="136">
        <f t="shared" si="0"/>
        <v>26.032528396227804</v>
      </c>
      <c r="D32" s="136">
        <f t="shared" si="0"/>
        <v>18.475119509062054</v>
      </c>
      <c r="E32" s="138">
        <f t="shared" si="1"/>
        <v>22.253823952644929</v>
      </c>
      <c r="F32" s="138">
        <f>(1/E32)*MPG_Refs!E$59</f>
        <v>517.58026056600647</v>
      </c>
      <c r="G32" s="138"/>
      <c r="H32" s="138"/>
      <c r="I32" s="139">
        <f t="shared" si="2"/>
        <v>253383321.25388348</v>
      </c>
      <c r="K32" s="15">
        <f>($B32*'nonCO2 EFs'!$AH$7)+'nonCO2 EFs'!$AI$7</f>
        <v>0.12923636363636604</v>
      </c>
      <c r="L32" s="15">
        <f>($B32*'nonCO2 EFs'!$AH$9)+'nonCO2 EFs'!$AI$9</f>
        <v>1.7563636363636448E-2</v>
      </c>
      <c r="M32" s="15">
        <f>($B32*'nonCO2 EFs'!$AH$10)+'nonCO2 EFs'!$AI$10</f>
        <v>4.000000000000001E-3</v>
      </c>
      <c r="N32" s="53">
        <v>1E-3</v>
      </c>
      <c r="O32" s="53">
        <v>3.0000000000000001E-3</v>
      </c>
      <c r="P32" s="15">
        <f>($B32*'nonCO2 EFs'!$AH$14)+'nonCO2 EFs'!$AI$14</f>
        <v>0.13209696969697404</v>
      </c>
      <c r="Q32" s="15">
        <f>($B$32*'nonCO2 EFs'!$AH$16)+'nonCO2 EFs'!$AI$16</f>
        <v>1.6236363636359386E-2</v>
      </c>
      <c r="R32" s="15">
        <f>($B32*'nonCO2 EFs'!$AH$17)+'nonCO2 EFs'!$AI$17</f>
        <v>4.6545454545454668E-3</v>
      </c>
      <c r="S32" s="53">
        <v>1E-3</v>
      </c>
      <c r="T32" s="53">
        <v>3.0000000000000001E-3</v>
      </c>
      <c r="U32" s="144">
        <f t="shared" si="3"/>
        <v>3.4368758574653148E-4</v>
      </c>
      <c r="V32" s="150">
        <f>U32*('2-Equations'!A$37-'2-Equations'!A$46)</f>
        <v>168.25352237149158</v>
      </c>
      <c r="AL32" s="15">
        <f>(U32*(G$6-H$6))+(AA$6*('2-Equations'!A$55-'2-Equations'!A$56)*'2-Equations'!A$10)+((AE$6-AI$6)*AJ$6*'2-Equations'!A$10)</f>
        <v>651.56413524661878</v>
      </c>
    </row>
    <row r="33" spans="1:38" ht="14">
      <c r="A33" s="143" t="s">
        <v>273</v>
      </c>
      <c r="B33" s="15">
        <v>2033</v>
      </c>
      <c r="C33" s="136">
        <f t="shared" si="0"/>
        <v>26.15699325802035</v>
      </c>
      <c r="D33" s="136">
        <f t="shared" si="0"/>
        <v>18.534598413400275</v>
      </c>
      <c r="E33" s="138">
        <f t="shared" si="1"/>
        <v>22.345795835710312</v>
      </c>
      <c r="F33" s="138">
        <f>(1/E33)*MPG_Refs!E$59</f>
        <v>515.44997925708788</v>
      </c>
      <c r="G33" s="138"/>
      <c r="H33" s="138"/>
      <c r="I33" s="139">
        <f t="shared" si="2"/>
        <v>252340434.19967359</v>
      </c>
      <c r="K33" s="15">
        <f>($B33*'nonCO2 EFs'!$AH$7)+'nonCO2 EFs'!$AI$7</f>
        <v>0.11707272727273121</v>
      </c>
      <c r="L33" s="15">
        <f>($B$33*'nonCO2 EFs'!$AH$9)+'nonCO2 EFs'!$AI$9</f>
        <v>4.1272727272705367E-3</v>
      </c>
      <c r="M33" s="15">
        <f>($B33*'nonCO2 EFs'!$AH$10)+'nonCO2 EFs'!$AI$10</f>
        <v>4.000000000000001E-3</v>
      </c>
      <c r="N33" s="53">
        <v>1E-3</v>
      </c>
      <c r="O33" s="53">
        <v>3.0000000000000001E-3</v>
      </c>
      <c r="P33" s="15">
        <f>($B33*'nonCO2 EFs'!$AH$14)+'nonCO2 EFs'!$AI$14</f>
        <v>0.1157272727272769</v>
      </c>
      <c r="Q33" s="15">
        <f>($B$32*'nonCO2 EFs'!$AH$16)+'nonCO2 EFs'!$AI$16</f>
        <v>1.6236363636359386E-2</v>
      </c>
      <c r="R33" s="15">
        <f>($B33*'nonCO2 EFs'!$AH$17)+'nonCO2 EFs'!$AI$17</f>
        <v>4.509090909090907E-3</v>
      </c>
      <c r="S33" s="53">
        <v>1E-3</v>
      </c>
      <c r="T33" s="53">
        <v>3.0000000000000001E-3</v>
      </c>
      <c r="U33" s="144">
        <f t="shared" si="3"/>
        <v>2.9726354000150903E-4</v>
      </c>
      <c r="V33" s="150">
        <f>U33*('2-Equations'!A$37-'2-Equations'!A$46)</f>
        <v>145.52645993666778</v>
      </c>
      <c r="AL33" s="15">
        <f>(U33*(G$6-H$6))+(AA$6*('2-Equations'!A$55-'2-Equations'!A$56)*'2-Equations'!A$10)+((AE$6-AI$6)*AJ$6*'2-Equations'!A$10)</f>
        <v>628.83707281179488</v>
      </c>
    </row>
    <row r="34" spans="1:38" ht="14">
      <c r="A34" s="143" t="s">
        <v>273</v>
      </c>
      <c r="B34" s="15">
        <v>2034</v>
      </c>
      <c r="C34" s="136">
        <f t="shared" si="0"/>
        <v>26.281458119812925</v>
      </c>
      <c r="D34" s="136">
        <f t="shared" si="0"/>
        <v>18.594077317738481</v>
      </c>
      <c r="E34" s="138">
        <f t="shared" si="1"/>
        <v>22.437767718775703</v>
      </c>
      <c r="F34" s="138">
        <f>(1/E34)*MPG_Refs!E$59</f>
        <v>513.33716189430618</v>
      </c>
      <c r="G34" s="138"/>
      <c r="H34" s="138"/>
      <c r="I34" s="139">
        <f t="shared" si="2"/>
        <v>251306096.6845623</v>
      </c>
      <c r="K34" s="15">
        <f>($B34*'nonCO2 EFs'!$AH$7)+'nonCO2 EFs'!$AI$7</f>
        <v>0.10490909090909284</v>
      </c>
      <c r="L34" s="15">
        <f>($B$33*'nonCO2 EFs'!$AH$9)+'nonCO2 EFs'!$AI$9</f>
        <v>4.1272727272705367E-3</v>
      </c>
      <c r="M34" s="15">
        <f>($B34*'nonCO2 EFs'!$AH$10)+'nonCO2 EFs'!$AI$10</f>
        <v>4.000000000000001E-3</v>
      </c>
      <c r="N34" s="53">
        <v>1E-3</v>
      </c>
      <c r="O34" s="53">
        <v>3.0000000000000001E-3</v>
      </c>
      <c r="P34" s="15">
        <f>($B34*'nonCO2 EFs'!$AH$14)+'nonCO2 EFs'!$AI$14</f>
        <v>9.9357575757579752E-2</v>
      </c>
      <c r="Q34" s="15">
        <f>($B$32*'nonCO2 EFs'!$AH$16)+'nonCO2 EFs'!$AI$16</f>
        <v>1.6236363636359386E-2</v>
      </c>
      <c r="R34" s="15">
        <f>($B34*'nonCO2 EFs'!$AH$17)+'nonCO2 EFs'!$AI$17</f>
        <v>4.3636363636363473E-3</v>
      </c>
      <c r="S34" s="53">
        <v>1E-3</v>
      </c>
      <c r="T34" s="53">
        <v>3.0000000000000001E-3</v>
      </c>
      <c r="U34" s="144">
        <f t="shared" si="3"/>
        <v>2.6565056195208348E-4</v>
      </c>
      <c r="V34" s="150">
        <f>U34*('2-Equations'!A$37-'2-Equations'!A$46)</f>
        <v>130.05021019690778</v>
      </c>
      <c r="AL34" s="15">
        <f>(U34*(G$6-H$6))+(AA$6*('2-Equations'!A$55-'2-Equations'!A$56)*'2-Equations'!A$10)+((AE$6-AI$6)*AJ$6*'2-Equations'!A$10)</f>
        <v>613.36082307203492</v>
      </c>
    </row>
    <row r="35" spans="1:38" ht="14">
      <c r="A35" s="143" t="s">
        <v>273</v>
      </c>
      <c r="B35" s="15">
        <v>2035</v>
      </c>
      <c r="C35" s="136">
        <f t="shared" si="0"/>
        <v>26.405922981605499</v>
      </c>
      <c r="D35" s="136">
        <f t="shared" si="0"/>
        <v>18.653556222076702</v>
      </c>
      <c r="E35" s="138">
        <f t="shared" si="1"/>
        <v>22.529739601841101</v>
      </c>
      <c r="F35" s="138">
        <f>(1/E35)*MPG_Refs!E$59</f>
        <v>511.24159460141976</v>
      </c>
      <c r="G35" s="138"/>
      <c r="H35" s="138"/>
      <c r="I35" s="139">
        <f t="shared" si="2"/>
        <v>250280204.00464845</v>
      </c>
      <c r="K35" s="15">
        <f>($B35*'nonCO2 EFs'!$AH$7)+'nonCO2 EFs'!$AI$7</f>
        <v>9.2745454545458017E-2</v>
      </c>
      <c r="L35" s="15">
        <f>($B$33*'nonCO2 EFs'!$AH$9)+'nonCO2 EFs'!$AI$9</f>
        <v>4.1272727272705367E-3</v>
      </c>
      <c r="M35" s="15">
        <f>($B35*'nonCO2 EFs'!$AH$10)+'nonCO2 EFs'!$AI$10</f>
        <v>4.000000000000001E-3</v>
      </c>
      <c r="N35" s="53">
        <v>1E-3</v>
      </c>
      <c r="O35" s="53">
        <v>3.0000000000000001E-3</v>
      </c>
      <c r="P35" s="15">
        <f>($B35*'nonCO2 EFs'!$AH$14)+'nonCO2 EFs'!$AI$14</f>
        <v>8.2987878787882607E-2</v>
      </c>
      <c r="Q35" s="15">
        <f>($B$32*'nonCO2 EFs'!$AH$16)+'nonCO2 EFs'!$AI$16</f>
        <v>1.6236363636359386E-2</v>
      </c>
      <c r="R35" s="15">
        <f>($B35*'nonCO2 EFs'!$AH$17)+'nonCO2 EFs'!$AI$17</f>
        <v>4.2181818181818431E-3</v>
      </c>
      <c r="S35" s="53">
        <v>1E-3</v>
      </c>
      <c r="T35" s="53">
        <v>3.0000000000000001E-3</v>
      </c>
      <c r="U35" s="144">
        <f t="shared" si="3"/>
        <v>2.3403758390266188E-4</v>
      </c>
      <c r="V35" s="150">
        <f>U35*('2-Equations'!A$37-'2-Equations'!A$46)</f>
        <v>114.57396045714974</v>
      </c>
      <c r="AL35" s="15">
        <f>(U35*(G$6-H$6))+(AA$6*('2-Equations'!A$55-'2-Equations'!A$56)*'2-Equations'!A$10)+((AE$6-AI$6)*AJ$6*'2-Equations'!A$10)</f>
        <v>597.88457333227689</v>
      </c>
    </row>
    <row r="36" spans="1:38" ht="14">
      <c r="A36" s="143" t="s">
        <v>273</v>
      </c>
      <c r="B36" s="15">
        <v>2036</v>
      </c>
      <c r="C36" s="136">
        <f t="shared" si="0"/>
        <v>26.530387843398074</v>
      </c>
      <c r="D36" s="136">
        <f t="shared" si="0"/>
        <v>18.713035126414923</v>
      </c>
      <c r="E36" s="138">
        <f t="shared" si="1"/>
        <v>22.621711484906498</v>
      </c>
      <c r="F36" s="138">
        <f>(1/E36)*MPG_Refs!E$59</f>
        <v>509.16306698036766</v>
      </c>
      <c r="G36" s="138"/>
      <c r="H36" s="138"/>
      <c r="I36" s="139">
        <f t="shared" si="2"/>
        <v>249262653.15878704</v>
      </c>
      <c r="K36" s="15">
        <f>($B36*'nonCO2 EFs'!$AH$7)+'nonCO2 EFs'!$AI$7</f>
        <v>8.0581818181819642E-2</v>
      </c>
      <c r="L36" s="15">
        <f>($B$33*'nonCO2 EFs'!$AH$9)+'nonCO2 EFs'!$AI$9</f>
        <v>4.1272727272705367E-3</v>
      </c>
      <c r="M36" s="15">
        <f>($B36*'nonCO2 EFs'!$AH$10)+'nonCO2 EFs'!$AI$10</f>
        <v>4.000000000000001E-3</v>
      </c>
      <c r="N36" s="53">
        <v>1E-3</v>
      </c>
      <c r="O36" s="53">
        <v>3.0000000000000001E-3</v>
      </c>
      <c r="P36" s="15">
        <f>($B36*'nonCO2 EFs'!$AH$14)+'nonCO2 EFs'!$AI$14</f>
        <v>6.6618181818185462E-2</v>
      </c>
      <c r="Q36" s="15">
        <f>($B$32*'nonCO2 EFs'!$AH$16)+'nonCO2 EFs'!$AI$16</f>
        <v>1.6236363636359386E-2</v>
      </c>
      <c r="R36" s="15">
        <f>($B36*'nonCO2 EFs'!$AH$17)+'nonCO2 EFs'!$AI$17</f>
        <v>4.0727272727272834E-3</v>
      </c>
      <c r="S36" s="53">
        <v>1E-3</v>
      </c>
      <c r="T36" s="53">
        <v>3.0000000000000001E-3</v>
      </c>
      <c r="U36" s="144">
        <f t="shared" si="3"/>
        <v>2.024246058532363E-4</v>
      </c>
      <c r="V36" s="150">
        <f>U36*('2-Equations'!A$37-'2-Equations'!A$46)</f>
        <v>99.097710717389745</v>
      </c>
      <c r="AL36" s="15">
        <f>(U36*(G$6-H$6))+(AA$6*('2-Equations'!A$55-'2-Equations'!A$56)*'2-Equations'!A$10)+((AE$6-AI$6)*AJ$6*'2-Equations'!A$10)</f>
        <v>582.40832359251692</v>
      </c>
    </row>
    <row r="37" spans="1:38" ht="14">
      <c r="A37" s="143" t="s">
        <v>273</v>
      </c>
      <c r="B37" s="15">
        <v>2037</v>
      </c>
      <c r="C37" s="136">
        <f t="shared" si="0"/>
        <v>26.654852705190649</v>
      </c>
      <c r="D37" s="136">
        <f t="shared" si="0"/>
        <v>18.772514030753143</v>
      </c>
      <c r="E37" s="138">
        <f t="shared" si="1"/>
        <v>22.713683367971896</v>
      </c>
      <c r="F37" s="138">
        <f>(1/E37)*MPG_Refs!E$59</f>
        <v>507.10137204085066</v>
      </c>
      <c r="G37" s="138"/>
      <c r="H37" s="138"/>
      <c r="I37" s="139">
        <f t="shared" si="2"/>
        <v>248253342.81411535</v>
      </c>
      <c r="K37" s="15">
        <f>($B37*'nonCO2 EFs'!$AH$7)+'nonCO2 EFs'!$AI$7</f>
        <v>6.841818181818482E-2</v>
      </c>
      <c r="L37" s="15">
        <f>($B$33*'nonCO2 EFs'!$AH$9)+'nonCO2 EFs'!$AI$9</f>
        <v>4.1272727272705367E-3</v>
      </c>
      <c r="M37" s="15">
        <f>($B37*'nonCO2 EFs'!$AH$10)+'nonCO2 EFs'!$AI$10</f>
        <v>4.000000000000001E-3</v>
      </c>
      <c r="N37" s="53">
        <v>1E-3</v>
      </c>
      <c r="O37" s="53">
        <v>3.0000000000000001E-3</v>
      </c>
      <c r="P37" s="15">
        <f>($B37*'nonCO2 EFs'!$AH$14)+'nonCO2 EFs'!$AI$14</f>
        <v>5.0248484848488317E-2</v>
      </c>
      <c r="Q37" s="15">
        <f>($B$32*'nonCO2 EFs'!$AH$16)+'nonCO2 EFs'!$AI$16</f>
        <v>1.6236363636359386E-2</v>
      </c>
      <c r="R37" s="15">
        <f>($B37*'nonCO2 EFs'!$AH$17)+'nonCO2 EFs'!$AI$17</f>
        <v>3.9272727272727237E-3</v>
      </c>
      <c r="S37" s="53">
        <v>1E-3</v>
      </c>
      <c r="T37" s="53">
        <v>3.0000000000000001E-3</v>
      </c>
      <c r="U37" s="144">
        <f t="shared" si="3"/>
        <v>1.7081162780381467E-4</v>
      </c>
      <c r="V37" s="150">
        <f>U37*('2-Equations'!A$37-'2-Equations'!A$46)</f>
        <v>83.621460977631685</v>
      </c>
      <c r="AL37" s="15">
        <f>(U37*(G$6-H$6))+(AA$6*('2-Equations'!A$55-'2-Equations'!A$56)*'2-Equations'!A$10)+((AE$6-AI$6)*AJ$6*'2-Equations'!A$10)</f>
        <v>566.93207385275889</v>
      </c>
    </row>
    <row r="38" spans="1:38" ht="14">
      <c r="A38" s="143" t="s">
        <v>273</v>
      </c>
      <c r="B38" s="15">
        <v>2038</v>
      </c>
      <c r="C38" s="136">
        <f t="shared" si="0"/>
        <v>26.779317566983224</v>
      </c>
      <c r="D38" s="136">
        <f t="shared" si="0"/>
        <v>18.831992935091364</v>
      </c>
      <c r="E38" s="138">
        <f t="shared" si="1"/>
        <v>22.805655251037294</v>
      </c>
      <c r="F38" s="138">
        <f>(1/E38)*MPG_Refs!E$59</f>
        <v>505.05630613161651</v>
      </c>
      <c r="G38" s="138"/>
      <c r="H38" s="138"/>
      <c r="I38" s="139">
        <f t="shared" si="2"/>
        <v>247252173.2724134</v>
      </c>
      <c r="K38" s="15">
        <f>($B38*'nonCO2 EFs'!$AH$7)+'nonCO2 EFs'!$AI$7</f>
        <v>5.6254545454546445E-2</v>
      </c>
      <c r="L38" s="15">
        <f>($B$33*'nonCO2 EFs'!$AH$9)+'nonCO2 EFs'!$AI$9</f>
        <v>4.1272727272705367E-3</v>
      </c>
      <c r="M38" s="15">
        <f>($B38*'nonCO2 EFs'!$AH$10)+'nonCO2 EFs'!$AI$10</f>
        <v>4.000000000000001E-3</v>
      </c>
      <c r="N38" s="53">
        <v>1E-3</v>
      </c>
      <c r="O38" s="53">
        <v>3.0000000000000001E-3</v>
      </c>
      <c r="P38" s="15">
        <f>($B38*'nonCO2 EFs'!$AH$14)+'nonCO2 EFs'!$AI$14</f>
        <v>3.3878787878791172E-2</v>
      </c>
      <c r="Q38" s="15">
        <f>($B$32*'nonCO2 EFs'!$AH$16)+'nonCO2 EFs'!$AI$16</f>
        <v>1.6236363636359386E-2</v>
      </c>
      <c r="R38" s="15">
        <f>($B38*'nonCO2 EFs'!$AH$17)+'nonCO2 EFs'!$AI$17</f>
        <v>3.781818181818164E-3</v>
      </c>
      <c r="S38" s="53">
        <v>1E-3</v>
      </c>
      <c r="T38" s="53">
        <v>3.0000000000000001E-3</v>
      </c>
      <c r="U38" s="144">
        <f t="shared" si="3"/>
        <v>1.3919864975438909E-4</v>
      </c>
      <c r="V38" s="150">
        <f>U38*('2-Equations'!A$37-'2-Equations'!A$46)</f>
        <v>68.145211237871692</v>
      </c>
      <c r="AL38" s="15">
        <f>(U38*(G$6-H$6))+(AA$6*('2-Equations'!A$55-'2-Equations'!A$56)*'2-Equations'!A$10)+((AE$6-AI$6)*AJ$6*'2-Equations'!A$10)</f>
        <v>551.45582411299881</v>
      </c>
    </row>
    <row r="39" spans="1:38" ht="14">
      <c r="A39" s="143" t="s">
        <v>273</v>
      </c>
      <c r="B39" s="15">
        <v>2039</v>
      </c>
      <c r="C39" s="136">
        <f t="shared" si="0"/>
        <v>26.903782428775799</v>
      </c>
      <c r="D39" s="136">
        <f t="shared" si="0"/>
        <v>18.891471839429585</v>
      </c>
      <c r="E39" s="138">
        <f t="shared" si="1"/>
        <v>22.897627134102692</v>
      </c>
      <c r="F39" s="138">
        <f>(1/E39)*MPG_Refs!E$59</f>
        <v>503.02766887340056</v>
      </c>
      <c r="G39" s="138"/>
      <c r="H39" s="138"/>
      <c r="I39" s="139">
        <f t="shared" si="2"/>
        <v>246259046.43727478</v>
      </c>
      <c r="K39" s="15">
        <f>($B39*'nonCO2 EFs'!$AH$7)+'nonCO2 EFs'!$AI$7</f>
        <v>4.4090909090911623E-2</v>
      </c>
      <c r="L39" s="15">
        <f>($B$33*'nonCO2 EFs'!$AH$9)+'nonCO2 EFs'!$AI$9</f>
        <v>4.1272727272705367E-3</v>
      </c>
      <c r="M39" s="15">
        <f>($B39*'nonCO2 EFs'!$AH$10)+'nonCO2 EFs'!$AI$10</f>
        <v>4.000000000000001E-3</v>
      </c>
      <c r="N39" s="53">
        <v>1E-3</v>
      </c>
      <c r="O39" s="53">
        <v>3.0000000000000001E-3</v>
      </c>
      <c r="P39" s="15">
        <f>($B39*'nonCO2 EFs'!$AH$14)+'nonCO2 EFs'!$AI$14</f>
        <v>1.7509090909094027E-2</v>
      </c>
      <c r="Q39" s="15">
        <f>($B$32*'nonCO2 EFs'!$AH$16)+'nonCO2 EFs'!$AI$16</f>
        <v>1.6236363636359386E-2</v>
      </c>
      <c r="R39" s="15">
        <f>($B39*'nonCO2 EFs'!$AH$17)+'nonCO2 EFs'!$AI$17</f>
        <v>3.6363636363636598E-3</v>
      </c>
      <c r="S39" s="53">
        <v>1E-3</v>
      </c>
      <c r="T39" s="53">
        <v>3.0000000000000001E-3</v>
      </c>
      <c r="U39" s="144">
        <f t="shared" si="3"/>
        <v>1.0758567170496751E-4</v>
      </c>
      <c r="V39" s="150">
        <f>U39*('2-Equations'!A$37-'2-Equations'!A$46)</f>
        <v>52.668961498113646</v>
      </c>
      <c r="AL39" s="15">
        <f>(U39*(G$6-H$6))+(AA$6*('2-Equations'!A$55-'2-Equations'!A$56)*'2-Equations'!A$10)+((AE$6-AI$6)*AJ$6*'2-Equations'!A$10)</f>
        <v>535.97957437324078</v>
      </c>
    </row>
    <row r="40" spans="1:38" ht="14">
      <c r="A40" s="143" t="s">
        <v>273</v>
      </c>
      <c r="B40" s="15">
        <v>2040</v>
      </c>
      <c r="C40" s="136">
        <f t="shared" si="0"/>
        <v>27.028247290568373</v>
      </c>
      <c r="D40" s="136">
        <f t="shared" si="0"/>
        <v>18.950950743767805</v>
      </c>
      <c r="E40" s="138">
        <f t="shared" si="1"/>
        <v>22.989599017168089</v>
      </c>
      <c r="F40" s="138">
        <f>(1/E40)*MPG_Refs!E$59</f>
        <v>501.01526309347651</v>
      </c>
      <c r="G40" s="138"/>
      <c r="H40" s="138"/>
      <c r="I40" s="139">
        <f t="shared" si="2"/>
        <v>245273865.78206578</v>
      </c>
      <c r="K40" s="15">
        <f>($B40*'nonCO2 EFs'!$AH$7)+'nonCO2 EFs'!$AI$7</f>
        <v>3.1927272727273248E-2</v>
      </c>
      <c r="L40" s="15">
        <f>($B$33*'nonCO2 EFs'!$AH$9)+'nonCO2 EFs'!$AI$9</f>
        <v>4.1272727272705367E-3</v>
      </c>
      <c r="M40" s="15">
        <f>($B40*'nonCO2 EFs'!$AH$10)+'nonCO2 EFs'!$AI$10</f>
        <v>4.000000000000001E-3</v>
      </c>
      <c r="N40" s="53">
        <v>1E-3</v>
      </c>
      <c r="O40" s="53">
        <v>3.0000000000000001E-3</v>
      </c>
      <c r="P40" s="15">
        <f>($B$40*'nonCO2 EFs'!$AH$14)+'nonCO2 EFs'!$AI$14</f>
        <v>1.1393939393968822E-3</v>
      </c>
      <c r="Q40" s="15">
        <f>($B$32*'nonCO2 EFs'!$AH$16)+'nonCO2 EFs'!$AI$16</f>
        <v>1.6236363636359386E-2</v>
      </c>
      <c r="R40" s="15">
        <f>($B40*'nonCO2 EFs'!$AH$17)+'nonCO2 EFs'!$AI$17</f>
        <v>3.4909090909091001E-3</v>
      </c>
      <c r="S40" s="53">
        <v>1E-3</v>
      </c>
      <c r="T40" s="53">
        <v>3.0000000000000001E-3</v>
      </c>
      <c r="U40" s="144">
        <f t="shared" si="3"/>
        <v>7.5972693655541952E-5</v>
      </c>
      <c r="V40" s="150">
        <f>U40*('2-Equations'!A$37-'2-Equations'!A$46)</f>
        <v>37.19271175835366</v>
      </c>
      <c r="AL40" s="15">
        <f>(U40*(G$6-H$6))+(AA$6*('2-Equations'!A$55-'2-Equations'!A$56)*'2-Equations'!A$10)+((AE$6-AI$6)*AJ$6*'2-Equations'!A$10)</f>
        <v>520.50332463348082</v>
      </c>
    </row>
    <row r="41" spans="1:38" ht="14">
      <c r="A41" s="143" t="s">
        <v>273</v>
      </c>
      <c r="B41" s="15">
        <v>2041</v>
      </c>
      <c r="C41" s="136">
        <f t="shared" si="0"/>
        <v>27.152712152360948</v>
      </c>
      <c r="D41" s="136">
        <f t="shared" si="0"/>
        <v>19.010429648106026</v>
      </c>
      <c r="E41" s="138">
        <f t="shared" si="1"/>
        <v>23.081570900233487</v>
      </c>
      <c r="F41" s="138">
        <f>(1/E41)*MPG_Refs!E$59</f>
        <v>499.01889476177229</v>
      </c>
      <c r="G41" s="138"/>
      <c r="H41" s="138"/>
      <c r="I41" s="139">
        <f t="shared" si="2"/>
        <v>244296536.31865054</v>
      </c>
      <c r="K41" s="15">
        <f>($B41*'nonCO2 EFs'!$AH$7)+'nonCO2 EFs'!$AI$7</f>
        <v>1.9763636363638426E-2</v>
      </c>
      <c r="L41" s="15">
        <f>($B$33*'nonCO2 EFs'!$AH$9)+'nonCO2 EFs'!$AI$9</f>
        <v>4.1272727272705367E-3</v>
      </c>
      <c r="M41" s="15">
        <f>($B41*'nonCO2 EFs'!$AH$10)+'nonCO2 EFs'!$AI$10</f>
        <v>4.000000000000001E-3</v>
      </c>
      <c r="N41" s="53">
        <v>1E-3</v>
      </c>
      <c r="O41" s="53">
        <v>3.0000000000000001E-3</v>
      </c>
      <c r="P41" s="15">
        <f>($B$40*'nonCO2 EFs'!$AH$14)+'nonCO2 EFs'!$AI$14</f>
        <v>1.1393939393968822E-3</v>
      </c>
      <c r="Q41" s="15">
        <f>($B$32*'nonCO2 EFs'!$AH$16)+'nonCO2 EFs'!$AI$16</f>
        <v>1.6236363636359386E-2</v>
      </c>
      <c r="R41" s="15">
        <f>($B41*'nonCO2 EFs'!$AH$17)+'nonCO2 EFs'!$AI$17</f>
        <v>3.3454545454545404E-3</v>
      </c>
      <c r="S41" s="53">
        <v>1E-3</v>
      </c>
      <c r="T41" s="53">
        <v>3.0000000000000001E-3</v>
      </c>
      <c r="U41" s="144">
        <f t="shared" si="3"/>
        <v>6.240423245132164E-5</v>
      </c>
      <c r="V41" s="150">
        <f>U41*('2-Equations'!A$37-'2-Equations'!A$46)</f>
        <v>30.550221643931376</v>
      </c>
      <c r="AL41" s="15">
        <f>(U41*(G$6-H$6))+(AA$6*('2-Equations'!A$55-'2-Equations'!A$56)*'2-Equations'!A$10)+((AE$6-AI$6)*AJ$6*'2-Equations'!A$10)</f>
        <v>513.86083451905859</v>
      </c>
    </row>
    <row r="42" spans="1:38" ht="14">
      <c r="A42" s="143" t="s">
        <v>273</v>
      </c>
      <c r="B42" s="15">
        <v>2042</v>
      </c>
      <c r="C42" s="136">
        <f t="shared" si="0"/>
        <v>27.277177014153523</v>
      </c>
      <c r="D42" s="136">
        <f t="shared" si="0"/>
        <v>19.069908552444247</v>
      </c>
      <c r="E42" s="138">
        <f t="shared" si="1"/>
        <v>23.173542783298885</v>
      </c>
      <c r="F42" s="138">
        <f>(1/E42)*MPG_Refs!E$59</f>
        <v>497.03837292850596</v>
      </c>
      <c r="G42" s="138"/>
      <c r="H42" s="138"/>
      <c r="I42" s="139">
        <f t="shared" si="2"/>
        <v>243326964.56686068</v>
      </c>
      <c r="K42" s="15">
        <f>($B$42*'nonCO2 EFs'!$AH$7)+'nonCO2 EFs'!$AI$7</f>
        <v>7.6000000000036039E-3</v>
      </c>
      <c r="L42" s="15">
        <f>($B$33*'nonCO2 EFs'!$AH$9)+'nonCO2 EFs'!$AI$9</f>
        <v>4.1272727272705367E-3</v>
      </c>
      <c r="M42" s="15">
        <f>($B42*'nonCO2 EFs'!$AH$10)+'nonCO2 EFs'!$AI$10</f>
        <v>4.000000000000001E-3</v>
      </c>
      <c r="N42" s="53">
        <v>1E-3</v>
      </c>
      <c r="O42" s="53">
        <v>3.0000000000000001E-3</v>
      </c>
      <c r="P42" s="15">
        <f>($B$40*'nonCO2 EFs'!$AH$14)+'nonCO2 EFs'!$AI$14</f>
        <v>1.1393939393968822E-3</v>
      </c>
      <c r="Q42" s="15">
        <f>($B$32*'nonCO2 EFs'!$AH$16)+'nonCO2 EFs'!$AI$16</f>
        <v>1.6236363636359386E-2</v>
      </c>
      <c r="R42" s="15">
        <f>($B42*'nonCO2 EFs'!$AH$17)+'nonCO2 EFs'!$AI$17</f>
        <v>3.1999999999999806E-3</v>
      </c>
      <c r="S42" s="53">
        <v>1E-3</v>
      </c>
      <c r="T42" s="53">
        <v>3.0000000000000001E-3</v>
      </c>
      <c r="U42" s="144">
        <f t="shared" si="3"/>
        <v>4.8835771247101349E-5</v>
      </c>
      <c r="V42" s="150">
        <f>U42*('2-Equations'!A$37-'2-Equations'!A$46)</f>
        <v>23.907731529509096</v>
      </c>
      <c r="AL42" s="15">
        <f>(U42*(G$6-H$6))+(AA$6*('2-Equations'!A$55-'2-Equations'!A$56)*'2-Equations'!A$10)+((AE$6-AI$6)*AJ$6*'2-Equations'!A$10)</f>
        <v>507.21834440463624</v>
      </c>
    </row>
    <row r="43" spans="1:38" ht="14">
      <c r="A43" s="143" t="s">
        <v>273</v>
      </c>
      <c r="B43" s="15">
        <v>2043</v>
      </c>
      <c r="C43" s="136">
        <f t="shared" si="0"/>
        <v>27.401641875946069</v>
      </c>
      <c r="D43" s="136">
        <f t="shared" si="0"/>
        <v>19.129387456782467</v>
      </c>
      <c r="E43" s="138">
        <f t="shared" si="1"/>
        <v>23.265514666364268</v>
      </c>
      <c r="F43" s="138">
        <f>(1/E43)*MPG_Refs!E$59</f>
        <v>495.07350966330262</v>
      </c>
      <c r="G43" s="138"/>
      <c r="H43" s="138"/>
      <c r="I43" s="139">
        <f t="shared" si="2"/>
        <v>242365058.5246895</v>
      </c>
      <c r="K43" s="15">
        <f>($B$42*'nonCO2 EFs'!$AH$7)+'nonCO2 EFs'!$AI$7</f>
        <v>7.6000000000036039E-3</v>
      </c>
      <c r="L43" s="15">
        <f>($B$33*'nonCO2 EFs'!$AH$9)+'nonCO2 EFs'!$AI$9</f>
        <v>4.1272727272705367E-3</v>
      </c>
      <c r="M43" s="15">
        <f>($B43*'nonCO2 EFs'!$AH$10)+'nonCO2 EFs'!$AI$10</f>
        <v>4.000000000000001E-3</v>
      </c>
      <c r="N43" s="53">
        <v>1E-3</v>
      </c>
      <c r="O43" s="53">
        <v>3.0000000000000001E-3</v>
      </c>
      <c r="P43" s="15">
        <f>($B$40*'nonCO2 EFs'!$AH$14)+'nonCO2 EFs'!$AI$14</f>
        <v>1.1393939393968822E-3</v>
      </c>
      <c r="Q43" s="15">
        <f>($B$32*'nonCO2 EFs'!$AH$16)+'nonCO2 EFs'!$AI$16</f>
        <v>1.6236363636359386E-2</v>
      </c>
      <c r="R43" s="15">
        <f>($B43*'nonCO2 EFs'!$AH$17)+'nonCO2 EFs'!$AI$17</f>
        <v>3.0545454545454764E-3</v>
      </c>
      <c r="S43" s="53">
        <v>1E-3</v>
      </c>
      <c r="T43" s="53">
        <v>3.0000000000000001E-3</v>
      </c>
      <c r="U43" s="144">
        <f t="shared" si="3"/>
        <v>4.8675434925633483E-5</v>
      </c>
      <c r="V43" s="150">
        <f>U43*('2-Equations'!A$37-'2-Equations'!A$46)</f>
        <v>23.829238293297326</v>
      </c>
      <c r="AL43" s="15">
        <f>(U43*(G$6-H$6))+(AA$6*('2-Equations'!A$55-'2-Equations'!A$56)*'2-Equations'!A$10)+((AE$6-AI$6)*AJ$6*'2-Equations'!A$10)</f>
        <v>507.13985116842451</v>
      </c>
    </row>
    <row r="44" spans="1:38" ht="14">
      <c r="A44" s="143" t="s">
        <v>273</v>
      </c>
      <c r="B44" s="15">
        <v>2044</v>
      </c>
      <c r="C44" s="136">
        <f t="shared" si="0"/>
        <v>27.526106737738644</v>
      </c>
      <c r="D44" s="136">
        <f t="shared" si="0"/>
        <v>19.188866361120674</v>
      </c>
      <c r="E44" s="138">
        <f t="shared" si="1"/>
        <v>23.357486549429659</v>
      </c>
      <c r="F44" s="138">
        <f>(1/E44)*MPG_Refs!E$59</f>
        <v>493.12411999574709</v>
      </c>
      <c r="G44" s="138"/>
      <c r="H44" s="138"/>
      <c r="I44" s="139">
        <f t="shared" si="2"/>
        <v>241410727.6391896</v>
      </c>
      <c r="K44" s="15">
        <f>($B$42*'nonCO2 EFs'!$AH$7)+'nonCO2 EFs'!$AI$7</f>
        <v>7.6000000000036039E-3</v>
      </c>
      <c r="L44" s="15">
        <f>($B$33*'nonCO2 EFs'!$AH$9)+'nonCO2 EFs'!$AI$9</f>
        <v>4.1272727272705367E-3</v>
      </c>
      <c r="M44" s="15">
        <f>($B44*'nonCO2 EFs'!$AH$10)+'nonCO2 EFs'!$AI$10</f>
        <v>4.000000000000001E-3</v>
      </c>
      <c r="N44" s="53">
        <v>1E-3</v>
      </c>
      <c r="O44" s="53">
        <v>3.0000000000000001E-3</v>
      </c>
      <c r="P44" s="15">
        <f>($B$40*'nonCO2 EFs'!$AH$14)+'nonCO2 EFs'!$AI$14</f>
        <v>1.1393939393968822E-3</v>
      </c>
      <c r="Q44" s="15">
        <f>($B$32*'nonCO2 EFs'!$AH$16)+'nonCO2 EFs'!$AI$16</f>
        <v>1.6236363636359386E-2</v>
      </c>
      <c r="R44" s="15">
        <f>($B44*'nonCO2 EFs'!$AH$17)+'nonCO2 EFs'!$AI$17</f>
        <v>2.9090909090909167E-3</v>
      </c>
      <c r="S44" s="53">
        <v>1E-3</v>
      </c>
      <c r="T44" s="53">
        <v>3.0000000000000001E-3</v>
      </c>
      <c r="U44" s="144">
        <f t="shared" si="3"/>
        <v>4.8515098604165555E-5</v>
      </c>
      <c r="V44" s="150">
        <f>U44*('2-Equations'!A$37-'2-Equations'!A$46)</f>
        <v>23.750745057085521</v>
      </c>
      <c r="AL44" s="15">
        <f>(U44*(G$6-H$6))+(AA$6*('2-Equations'!A$55-'2-Equations'!A$56)*'2-Equations'!A$10)+((AE$6-AI$6)*AJ$6*'2-Equations'!A$10)</f>
        <v>507.06135793221267</v>
      </c>
    </row>
    <row r="45" spans="1:38" ht="14">
      <c r="A45" s="143" t="s">
        <v>273</v>
      </c>
      <c r="B45" s="15">
        <v>2045</v>
      </c>
      <c r="C45" s="136">
        <f t="shared" si="0"/>
        <v>27.650571599531219</v>
      </c>
      <c r="D45" s="136">
        <f t="shared" si="0"/>
        <v>19.248345265458894</v>
      </c>
      <c r="E45" s="138">
        <f t="shared" si="1"/>
        <v>23.449458432495057</v>
      </c>
      <c r="F45" s="138">
        <f>(1/E45)*MPG_Refs!E$59</f>
        <v>491.19002185733854</v>
      </c>
      <c r="G45" s="138"/>
      <c r="H45" s="138"/>
      <c r="I45" s="139">
        <f t="shared" si="2"/>
        <v>240463882.77805638</v>
      </c>
      <c r="K45" s="15">
        <f>($B$42*'nonCO2 EFs'!$AH$7)+'nonCO2 EFs'!$AI$7</f>
        <v>7.6000000000036039E-3</v>
      </c>
      <c r="L45" s="15">
        <f>($B$33*'nonCO2 EFs'!$AH$9)+'nonCO2 EFs'!$AI$9</f>
        <v>4.1272727272705367E-3</v>
      </c>
      <c r="M45" s="15">
        <f>($B45*'nonCO2 EFs'!$AH$10)+'nonCO2 EFs'!$AI$10</f>
        <v>4.000000000000001E-3</v>
      </c>
      <c r="N45" s="53">
        <v>1E-3</v>
      </c>
      <c r="O45" s="53">
        <v>3.0000000000000001E-3</v>
      </c>
      <c r="P45" s="15">
        <f>($B$40*'nonCO2 EFs'!$AH$14)+'nonCO2 EFs'!$AI$14</f>
        <v>1.1393939393968822E-3</v>
      </c>
      <c r="Q45" s="15">
        <f>($B$32*'nonCO2 EFs'!$AH$16)+'nonCO2 EFs'!$AI$16</f>
        <v>1.6236363636359386E-2</v>
      </c>
      <c r="R45" s="15">
        <f>($B45*'nonCO2 EFs'!$AH$17)+'nonCO2 EFs'!$AI$17</f>
        <v>2.763636363636357E-3</v>
      </c>
      <c r="S45" s="53">
        <v>1E-3</v>
      </c>
      <c r="T45" s="53">
        <v>3.0000000000000001E-3</v>
      </c>
      <c r="U45" s="144">
        <f t="shared" si="3"/>
        <v>4.8354762282697628E-5</v>
      </c>
      <c r="V45" s="150">
        <f>U45*('2-Equations'!A$37-'2-Equations'!A$46)</f>
        <v>23.672251820873718</v>
      </c>
      <c r="AL45" s="15">
        <f>(U45*(G$6-H$6))+(AA$6*('2-Equations'!A$55-'2-Equations'!A$56)*'2-Equations'!A$10)+((AE$6-AI$6)*AJ$6*'2-Equations'!A$10)</f>
        <v>506.98286469600089</v>
      </c>
    </row>
    <row r="46" spans="1:38" ht="14">
      <c r="A46" s="143" t="s">
        <v>273</v>
      </c>
      <c r="B46" s="15">
        <v>2046</v>
      </c>
      <c r="C46" s="136">
        <f t="shared" si="0"/>
        <v>27.775036461323793</v>
      </c>
      <c r="D46" s="136">
        <f t="shared" si="0"/>
        <v>19.307824169797115</v>
      </c>
      <c r="E46" s="138">
        <f t="shared" si="1"/>
        <v>23.541430315560454</v>
      </c>
      <c r="F46" s="138">
        <f>(1/E46)*MPG_Refs!E$59</f>
        <v>489.27103602480429</v>
      </c>
      <c r="G46" s="138"/>
      <c r="H46" s="138"/>
      <c r="I46" s="139">
        <f t="shared" si="2"/>
        <v>239524436.20187718</v>
      </c>
      <c r="K46" s="15">
        <f>($B$42*'nonCO2 EFs'!$AH$7)+'nonCO2 EFs'!$AI$7</f>
        <v>7.6000000000036039E-3</v>
      </c>
      <c r="L46" s="15">
        <f>($B$33*'nonCO2 EFs'!$AH$9)+'nonCO2 EFs'!$AI$9</f>
        <v>4.1272727272705367E-3</v>
      </c>
      <c r="M46" s="15">
        <f>($B46*'nonCO2 EFs'!$AH$10)+'nonCO2 EFs'!$AI$10</f>
        <v>4.000000000000001E-3</v>
      </c>
      <c r="N46" s="53">
        <v>1E-3</v>
      </c>
      <c r="O46" s="53">
        <v>3.0000000000000001E-3</v>
      </c>
      <c r="P46" s="15">
        <f>($B$40*'nonCO2 EFs'!$AH$14)+'nonCO2 EFs'!$AI$14</f>
        <v>1.1393939393968822E-3</v>
      </c>
      <c r="Q46" s="15">
        <f>($B$32*'nonCO2 EFs'!$AH$16)+'nonCO2 EFs'!$AI$16</f>
        <v>1.6236363636359386E-2</v>
      </c>
      <c r="R46" s="15">
        <f>($B46*'nonCO2 EFs'!$AH$17)+'nonCO2 EFs'!$AI$17</f>
        <v>2.6181818181817973E-3</v>
      </c>
      <c r="S46" s="53">
        <v>1E-3</v>
      </c>
      <c r="T46" s="53">
        <v>3.0000000000000001E-3</v>
      </c>
      <c r="U46" s="144">
        <f t="shared" si="3"/>
        <v>4.8194425961229701E-5</v>
      </c>
      <c r="V46" s="150">
        <f>U46*('2-Equations'!A$37-'2-Equations'!A$46)</f>
        <v>23.593758584661916</v>
      </c>
      <c r="AL46" s="15">
        <f>(U46*(G$6-H$6))+(AA$6*('2-Equations'!A$55-'2-Equations'!A$56)*'2-Equations'!A$10)+((AE$6-AI$6)*AJ$6*'2-Equations'!A$10)</f>
        <v>506.9043714597891</v>
      </c>
    </row>
    <row r="47" spans="1:38" ht="14">
      <c r="A47" s="143" t="s">
        <v>273</v>
      </c>
      <c r="B47" s="15">
        <v>2047</v>
      </c>
      <c r="C47" s="136">
        <f t="shared" si="0"/>
        <v>27.899501323116368</v>
      </c>
      <c r="D47" s="136">
        <f t="shared" si="0"/>
        <v>19.367303074135336</v>
      </c>
      <c r="E47" s="138">
        <f t="shared" si="1"/>
        <v>23.633402198625852</v>
      </c>
      <c r="F47" s="138">
        <f>(1/E47)*MPG_Refs!E$59</f>
        <v>487.36698606473652</v>
      </c>
      <c r="G47" s="138"/>
      <c r="H47" s="138"/>
      <c r="I47" s="139">
        <f t="shared" si="2"/>
        <v>238592301.5370279</v>
      </c>
      <c r="K47" s="15">
        <f>($B$42*'nonCO2 EFs'!$AH$7)+'nonCO2 EFs'!$AI$7</f>
        <v>7.6000000000036039E-3</v>
      </c>
      <c r="L47" s="15">
        <f>($B$33*'nonCO2 EFs'!$AH$9)+'nonCO2 EFs'!$AI$9</f>
        <v>4.1272727272705367E-3</v>
      </c>
      <c r="M47" s="15">
        <f>($B47*'nonCO2 EFs'!$AH$10)+'nonCO2 EFs'!$AI$10</f>
        <v>4.000000000000001E-3</v>
      </c>
      <c r="N47" s="53">
        <v>1E-3</v>
      </c>
      <c r="O47" s="53">
        <v>3.0000000000000001E-3</v>
      </c>
      <c r="P47" s="15">
        <f>($B$40*'nonCO2 EFs'!$AH$14)+'nonCO2 EFs'!$AI$14</f>
        <v>1.1393939393968822E-3</v>
      </c>
      <c r="Q47" s="15">
        <f>($B$32*'nonCO2 EFs'!$AH$16)+'nonCO2 EFs'!$AI$16</f>
        <v>1.6236363636359386E-2</v>
      </c>
      <c r="R47" s="15">
        <f>($B47*'nonCO2 EFs'!$AH$17)+'nonCO2 EFs'!$AI$17</f>
        <v>2.4727272727272931E-3</v>
      </c>
      <c r="S47" s="53">
        <v>1E-3</v>
      </c>
      <c r="T47" s="53">
        <v>3.0000000000000001E-3</v>
      </c>
      <c r="U47" s="144">
        <f t="shared" si="3"/>
        <v>4.8034089639761835E-5</v>
      </c>
      <c r="V47" s="150">
        <f>U47*('2-Equations'!A$37-'2-Equations'!A$46)</f>
        <v>23.515265348450146</v>
      </c>
      <c r="AL47" s="15">
        <f>(U47*(G$6-H$6))+(AA$6*('2-Equations'!A$55-'2-Equations'!A$56)*'2-Equations'!A$10)+((AE$6-AI$6)*AJ$6*'2-Equations'!A$10)</f>
        <v>506.82587822357732</v>
      </c>
    </row>
    <row r="48" spans="1:38" ht="14">
      <c r="A48" s="143" t="s">
        <v>273</v>
      </c>
      <c r="B48" s="15">
        <v>2048</v>
      </c>
      <c r="C48" s="136">
        <f t="shared" si="0"/>
        <v>28.023966184908943</v>
      </c>
      <c r="D48" s="136">
        <f t="shared" si="0"/>
        <v>19.426781978473556</v>
      </c>
      <c r="E48" s="138">
        <f t="shared" si="1"/>
        <v>23.72537408169125</v>
      </c>
      <c r="F48" s="138">
        <f>(1/E48)*MPG_Refs!E$59</f>
        <v>485.47769827951794</v>
      </c>
      <c r="G48" s="138"/>
      <c r="H48" s="138"/>
      <c r="I48" s="139">
        <f t="shared" si="2"/>
        <v>237667393.74920079</v>
      </c>
      <c r="K48" s="15">
        <f>($B$42*'nonCO2 EFs'!$AH$7)+'nonCO2 EFs'!$AI$7</f>
        <v>7.6000000000036039E-3</v>
      </c>
      <c r="L48" s="15">
        <f>($B$33*'nonCO2 EFs'!$AH$9)+'nonCO2 EFs'!$AI$9</f>
        <v>4.1272727272705367E-3</v>
      </c>
      <c r="M48" s="15">
        <f>($B48*'nonCO2 EFs'!$AH$10)+'nonCO2 EFs'!$AI$10</f>
        <v>4.000000000000001E-3</v>
      </c>
      <c r="N48" s="53">
        <v>1E-3</v>
      </c>
      <c r="O48" s="53">
        <v>3.0000000000000001E-3</v>
      </c>
      <c r="P48" s="15">
        <f>($B$40*'nonCO2 EFs'!$AH$14)+'nonCO2 EFs'!$AI$14</f>
        <v>1.1393939393968822E-3</v>
      </c>
      <c r="Q48" s="15">
        <f>($B$32*'nonCO2 EFs'!$AH$16)+'nonCO2 EFs'!$AI$16</f>
        <v>1.6236363636359386E-2</v>
      </c>
      <c r="R48" s="15">
        <f>($B48*'nonCO2 EFs'!$AH$17)+'nonCO2 EFs'!$AI$17</f>
        <v>2.3272727272727334E-3</v>
      </c>
      <c r="S48" s="53">
        <v>1E-3</v>
      </c>
      <c r="T48" s="53">
        <v>3.0000000000000001E-3</v>
      </c>
      <c r="U48" s="144">
        <f t="shared" si="3"/>
        <v>4.7873753318293908E-5</v>
      </c>
      <c r="V48" s="150">
        <f>U48*('2-Equations'!A$37-'2-Equations'!A$46)</f>
        <v>23.436772112238344</v>
      </c>
      <c r="AL48" s="15">
        <f>(U48*(G$6-H$6))+(AA$6*('2-Equations'!A$55-'2-Equations'!A$56)*'2-Equations'!A$10)+((AE$6-AI$6)*AJ$6*'2-Equations'!A$10)</f>
        <v>506.74738498736554</v>
      </c>
    </row>
    <row r="49" spans="1:38" ht="14">
      <c r="A49" s="143" t="s">
        <v>273</v>
      </c>
      <c r="B49" s="15">
        <v>2049</v>
      </c>
      <c r="C49" s="136">
        <f t="shared" si="0"/>
        <v>28.148431046701518</v>
      </c>
      <c r="D49" s="136">
        <f t="shared" si="0"/>
        <v>19.486260882811777</v>
      </c>
      <c r="E49" s="138">
        <f t="shared" si="1"/>
        <v>23.817345964756647</v>
      </c>
      <c r="F49" s="138">
        <f>(1/E49)*MPG_Refs!E$59</f>
        <v>483.60300165449962</v>
      </c>
      <c r="G49" s="138"/>
      <c r="H49" s="138"/>
      <c r="I49" s="139">
        <f t="shared" si="2"/>
        <v>236749629.11754516</v>
      </c>
      <c r="K49" s="15">
        <f>($B$42*'nonCO2 EFs'!$AH$7)+'nonCO2 EFs'!$AI$7</f>
        <v>7.6000000000036039E-3</v>
      </c>
      <c r="L49" s="15">
        <f>($B$33*'nonCO2 EFs'!$AH$9)+'nonCO2 EFs'!$AI$9</f>
        <v>4.1272727272705367E-3</v>
      </c>
      <c r="M49" s="15">
        <f>($B49*'nonCO2 EFs'!$AH$10)+'nonCO2 EFs'!$AI$10</f>
        <v>4.000000000000001E-3</v>
      </c>
      <c r="N49" s="53">
        <v>1E-3</v>
      </c>
      <c r="O49" s="53">
        <v>3.0000000000000001E-3</v>
      </c>
      <c r="P49" s="15">
        <f>($B$40*'nonCO2 EFs'!$AH$14)+'nonCO2 EFs'!$AI$14</f>
        <v>1.1393939393968822E-3</v>
      </c>
      <c r="Q49" s="15">
        <f>($B$32*'nonCO2 EFs'!$AH$16)+'nonCO2 EFs'!$AI$16</f>
        <v>1.6236363636359386E-2</v>
      </c>
      <c r="R49" s="15">
        <f>($B49*'nonCO2 EFs'!$AH$17)+'nonCO2 EFs'!$AI$17</f>
        <v>2.1818181818181737E-3</v>
      </c>
      <c r="S49" s="53">
        <v>1E-3</v>
      </c>
      <c r="T49" s="53">
        <v>3.0000000000000001E-3</v>
      </c>
      <c r="U49" s="144">
        <f t="shared" si="3"/>
        <v>4.7713416996825981E-5</v>
      </c>
      <c r="V49" s="150">
        <f>U49*('2-Equations'!A$37-'2-Equations'!A$46)</f>
        <v>23.358278876026542</v>
      </c>
      <c r="AL49" s="15">
        <f>(U49*(G$6-H$6))+(AA$6*('2-Equations'!A$55-'2-Equations'!A$56)*'2-Equations'!A$10)+((AE$6-AI$6)*AJ$6*'2-Equations'!A$10)</f>
        <v>506.66889175115369</v>
      </c>
    </row>
    <row r="50" spans="1:38" ht="14">
      <c r="A50" s="143" t="s">
        <v>273</v>
      </c>
      <c r="B50" s="15">
        <v>2050</v>
      </c>
      <c r="C50" s="136">
        <f t="shared" si="0"/>
        <v>28.272895908494093</v>
      </c>
      <c r="D50" s="136">
        <f t="shared" si="0"/>
        <v>19.545739787149998</v>
      </c>
      <c r="E50" s="138">
        <f t="shared" si="1"/>
        <v>23.909317847822045</v>
      </c>
      <c r="F50" s="138">
        <f>(1/E50)*MPG_Refs!E$59</f>
        <v>481.74272780639842</v>
      </c>
      <c r="G50" s="138"/>
      <c r="H50" s="138"/>
      <c r="I50" s="139">
        <f t="shared" si="2"/>
        <v>235838925.20940509</v>
      </c>
      <c r="K50" s="15">
        <f>($B$42*'nonCO2 EFs'!$AH$7)+'nonCO2 EFs'!$AI$7</f>
        <v>7.6000000000036039E-3</v>
      </c>
      <c r="L50" s="15">
        <f>($B$33*'nonCO2 EFs'!$AH$9)+'nonCO2 EFs'!$AI$9</f>
        <v>4.1272727272705367E-3</v>
      </c>
      <c r="M50" s="15">
        <f>($B50*'nonCO2 EFs'!$AH$10)+'nonCO2 EFs'!$AI$10</f>
        <v>4.000000000000001E-3</v>
      </c>
      <c r="N50" s="53">
        <v>1E-3</v>
      </c>
      <c r="O50" s="53">
        <v>3.0000000000000001E-3</v>
      </c>
      <c r="P50" s="15">
        <f>($B$40*'nonCO2 EFs'!$AH$14)+'nonCO2 EFs'!$AI$14</f>
        <v>1.1393939393968822E-3</v>
      </c>
      <c r="Q50" s="15">
        <f>($B$32*'nonCO2 EFs'!$AH$16)+'nonCO2 EFs'!$AI$16</f>
        <v>1.6236363636359386E-2</v>
      </c>
      <c r="R50" s="15">
        <f>($B50*'nonCO2 EFs'!$AH$17)+'nonCO2 EFs'!$AI$17</f>
        <v>2.0363636363636695E-3</v>
      </c>
      <c r="S50" s="53">
        <v>1E-3</v>
      </c>
      <c r="T50" s="53">
        <v>3.0000000000000001E-3</v>
      </c>
      <c r="U50" s="144">
        <f t="shared" si="3"/>
        <v>4.7553080675358114E-5</v>
      </c>
      <c r="V50" s="150">
        <f>U50*('2-Equations'!A$37-'2-Equations'!A$46)</f>
        <v>23.279785639814769</v>
      </c>
      <c r="AL50" s="15">
        <f>(U50*(G$6-H$6))+(AA$6*('2-Equations'!A$55-'2-Equations'!A$56)*'2-Equations'!A$10)+((AE$6-AI$6)*AJ$6*'2-Equations'!A$10)</f>
        <v>506.59039851494191</v>
      </c>
    </row>
    <row r="51" spans="1:38" ht="14">
      <c r="A51" s="143" t="s">
        <v>273</v>
      </c>
      <c r="B51" s="15">
        <v>2051</v>
      </c>
      <c r="C51" s="136">
        <f t="shared" si="0"/>
        <v>28.397360770286667</v>
      </c>
      <c r="D51" s="136">
        <f t="shared" si="0"/>
        <v>19.605218691488218</v>
      </c>
      <c r="E51" s="138">
        <f t="shared" si="1"/>
        <v>24.001289730887443</v>
      </c>
      <c r="F51" s="138">
        <f>(1/E51)*MPG_Refs!E$59</f>
        <v>479.89671093288024</v>
      </c>
      <c r="G51" s="138"/>
      <c r="H51" s="138"/>
      <c r="I51" s="139">
        <f t="shared" si="2"/>
        <v>234935200.85563773</v>
      </c>
      <c r="K51" s="15">
        <f>($B$42*'nonCO2 EFs'!$AH$7)+'nonCO2 EFs'!$AI$7</f>
        <v>7.6000000000036039E-3</v>
      </c>
      <c r="L51" s="15">
        <f>($B$33*'nonCO2 EFs'!$AH$9)+'nonCO2 EFs'!$AI$9</f>
        <v>4.1272727272705367E-3</v>
      </c>
      <c r="M51" s="15">
        <f>($B51*'nonCO2 EFs'!$AH$10)+'nonCO2 EFs'!$AI$10</f>
        <v>4.000000000000001E-3</v>
      </c>
      <c r="N51" s="53">
        <v>1E-3</v>
      </c>
      <c r="O51" s="53">
        <v>3.0000000000000001E-3</v>
      </c>
      <c r="P51" s="15">
        <f>($B$40*'nonCO2 EFs'!$AH$14)+'nonCO2 EFs'!$AI$14</f>
        <v>1.1393939393968822E-3</v>
      </c>
      <c r="Q51" s="15">
        <f>($B$32*'nonCO2 EFs'!$AH$16)+'nonCO2 EFs'!$AI$16</f>
        <v>1.6236363636359386E-2</v>
      </c>
      <c r="R51" s="15">
        <f>($B51*'nonCO2 EFs'!$AH$17)+'nonCO2 EFs'!$AI$17</f>
        <v>1.8909090909091097E-3</v>
      </c>
      <c r="S51" s="53">
        <v>1E-3</v>
      </c>
      <c r="T51" s="53">
        <v>3.0000000000000001E-3</v>
      </c>
      <c r="U51" s="144">
        <f t="shared" si="3"/>
        <v>4.7392744353890187E-5</v>
      </c>
      <c r="V51" s="150">
        <f>U51*('2-Equations'!A$37-'2-Equations'!A$46)</f>
        <v>23.201292403602967</v>
      </c>
      <c r="AL51" s="15">
        <f>(U51*(G$6-H$6))+(AA$6*('2-Equations'!A$55-'2-Equations'!A$56)*'2-Equations'!A$10)+((AE$6-AI$6)*AJ$6*'2-Equations'!A$10)</f>
        <v>506.51190527873013</v>
      </c>
    </row>
    <row r="52" spans="1:38" s="145" customFormat="1" ht="13">
      <c r="A52" s="145" t="s">
        <v>274</v>
      </c>
      <c r="C52" s="137"/>
      <c r="D52" s="137"/>
      <c r="E52" s="137"/>
      <c r="F52" s="137"/>
      <c r="G52" s="137"/>
      <c r="H52" s="137"/>
      <c r="I52" s="137"/>
      <c r="U52" s="146"/>
      <c r="V52" s="146"/>
      <c r="AL52" s="146"/>
    </row>
    <row r="53" spans="1:38" ht="14.5">
      <c r="A53" s="244" t="s">
        <v>275</v>
      </c>
      <c r="B53" s="128"/>
      <c r="C53" s="16">
        <f>SLOPE(C$7:C$20,$B$7:$B$20)</f>
        <v>0.12446486179257202</v>
      </c>
      <c r="D53" s="16">
        <f>SLOPE(D$7:D$20,$B$7:$B$20)</f>
        <v>5.9478904338219181E-2</v>
      </c>
      <c r="E53" s="243"/>
      <c r="F53" s="243"/>
      <c r="G53" s="16"/>
      <c r="H53" s="16"/>
      <c r="I53" s="16"/>
      <c r="K53" s="243" t="s">
        <v>276</v>
      </c>
      <c r="U53" s="243" t="s">
        <v>277</v>
      </c>
      <c r="V53" s="243"/>
      <c r="AA53" t="s">
        <v>278</v>
      </c>
    </row>
    <row r="54" spans="1:38">
      <c r="A54" s="244" t="s">
        <v>279</v>
      </c>
      <c r="B54" s="128"/>
      <c r="C54" s="16">
        <f>INTERCEPT(C$7:C$20,$B$7:$B$20)</f>
        <v>-226.88007076627855</v>
      </c>
      <c r="D54" s="16">
        <f>INTERCEPT(D$7:D$20,$B$7:$B$20)</f>
        <v>-102.38601410619933</v>
      </c>
      <c r="E54" s="243"/>
      <c r="F54" s="243"/>
      <c r="G54" s="16"/>
      <c r="H54" s="16"/>
      <c r="I54" s="16"/>
      <c r="K54" s="243" t="s">
        <v>280</v>
      </c>
      <c r="U54" s="243"/>
      <c r="V54" s="243"/>
    </row>
    <row r="55" spans="1:38" ht="14.5">
      <c r="A55" s="147" t="s">
        <v>108</v>
      </c>
      <c r="C55" s="243" t="s">
        <v>281</v>
      </c>
      <c r="D55" s="243" t="s">
        <v>281</v>
      </c>
      <c r="E55" s="243"/>
      <c r="F55" s="243"/>
      <c r="G55" s="243"/>
      <c r="H55" s="243"/>
      <c r="I55" s="243"/>
      <c r="K55" s="243" t="s">
        <v>282</v>
      </c>
      <c r="L55" s="243"/>
      <c r="M55" s="243"/>
      <c r="N55" s="243"/>
      <c r="O55" s="243"/>
      <c r="P55" s="243"/>
      <c r="Q55" s="243"/>
      <c r="R55" s="243"/>
      <c r="S55" s="243"/>
      <c r="T55" s="243"/>
      <c r="AD55" t="s">
        <v>283</v>
      </c>
      <c r="AE55"/>
      <c r="AF55" t="s">
        <v>283</v>
      </c>
      <c r="AG55" t="s">
        <v>283</v>
      </c>
      <c r="AH55" t="s">
        <v>283</v>
      </c>
      <c r="AI55"/>
      <c r="AJ55" s="148" t="s">
        <v>133</v>
      </c>
    </row>
    <row r="56" spans="1:38" ht="14.5">
      <c r="A56" s="147" t="s">
        <v>284</v>
      </c>
      <c r="C56" s="243" t="s">
        <v>285</v>
      </c>
      <c r="D56" s="243" t="s">
        <v>285</v>
      </c>
      <c r="E56" s="243"/>
      <c r="F56" s="243"/>
      <c r="G56" s="243"/>
      <c r="H56" s="243"/>
      <c r="I56" s="243"/>
      <c r="K56" s="243" t="s">
        <v>285</v>
      </c>
      <c r="L56" s="243" t="s">
        <v>285</v>
      </c>
      <c r="M56" s="243" t="s">
        <v>285</v>
      </c>
      <c r="N56" s="243" t="s">
        <v>285</v>
      </c>
      <c r="O56" s="243" t="s">
        <v>285</v>
      </c>
      <c r="P56" s="243" t="s">
        <v>285</v>
      </c>
      <c r="Q56" s="243" t="s">
        <v>285</v>
      </c>
      <c r="R56" s="243" t="s">
        <v>285</v>
      </c>
      <c r="S56" s="243" t="s">
        <v>285</v>
      </c>
      <c r="T56" s="243" t="s">
        <v>285</v>
      </c>
      <c r="U56" s="243" t="s">
        <v>285</v>
      </c>
      <c r="V56" s="243"/>
      <c r="W56" t="s">
        <v>286</v>
      </c>
      <c r="X56" t="s">
        <v>283</v>
      </c>
      <c r="Y56" t="s">
        <v>286</v>
      </c>
      <c r="AB56" s="243" t="s">
        <v>287</v>
      </c>
      <c r="AC56" s="243" t="s">
        <v>287</v>
      </c>
      <c r="AD56" s="243" t="s">
        <v>287</v>
      </c>
      <c r="AE56" s="243" t="s">
        <v>278</v>
      </c>
      <c r="AF56" s="243" t="s">
        <v>288</v>
      </c>
      <c r="AG56" s="243" t="s">
        <v>288</v>
      </c>
      <c r="AH56" s="243" t="s">
        <v>288</v>
      </c>
      <c r="AI56" s="243" t="s">
        <v>278</v>
      </c>
      <c r="AJ56" s="243" t="s">
        <v>289</v>
      </c>
    </row>
    <row r="57" spans="1:38" ht="14.5">
      <c r="A57" s="245" t="s">
        <v>290</v>
      </c>
      <c r="K57" s="245" t="s">
        <v>291</v>
      </c>
      <c r="L57" s="243" t="s">
        <v>292</v>
      </c>
      <c r="P57" s="243" t="s">
        <v>292</v>
      </c>
      <c r="Q57" s="243" t="s">
        <v>292</v>
      </c>
      <c r="W57" t="s">
        <v>293</v>
      </c>
      <c r="X57" s="149" t="s">
        <v>288</v>
      </c>
      <c r="Y57" t="s">
        <v>293</v>
      </c>
      <c r="AD57" s="243" t="s">
        <v>294</v>
      </c>
      <c r="AE57" s="243"/>
      <c r="AF57" s="245" t="s">
        <v>295</v>
      </c>
    </row>
    <row r="58" spans="1:38" ht="14.5">
      <c r="A58" s="243"/>
      <c r="B58" s="243" t="s">
        <v>296</v>
      </c>
      <c r="K58" s="243" t="s">
        <v>292</v>
      </c>
      <c r="Z58" t="s">
        <v>297</v>
      </c>
    </row>
    <row r="59" spans="1:38">
      <c r="A59" s="243"/>
    </row>
    <row r="60" spans="1:38">
      <c r="A60" s="243"/>
    </row>
    <row r="61" spans="1:38">
      <c r="A61" s="243"/>
    </row>
  </sheetData>
  <hyperlinks>
    <hyperlink ref="AJ55" r:id="rId1" location="by%20fuel" xr:uid="{1890B02A-8773-4D89-B8FB-A7BA06F6B2EC}"/>
  </hyperlink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B146-CACD-4078-B7B1-AB6CE2533058}">
  <dimension ref="A1:V90"/>
  <sheetViews>
    <sheetView workbookViewId="0">
      <selection activeCell="E59" sqref="E59"/>
    </sheetView>
  </sheetViews>
  <sheetFormatPr defaultColWidth="8.7265625" defaultRowHeight="14"/>
  <cols>
    <col min="1" max="1" width="17.26953125" style="1" customWidth="1"/>
    <col min="2" max="2" width="30.7265625" style="1" customWidth="1"/>
    <col min="3" max="3" width="17.7265625" style="1" customWidth="1"/>
    <col min="4" max="4" width="28.7265625" style="1" customWidth="1"/>
    <col min="5" max="5" width="8.7265625" style="1"/>
    <col min="6" max="6" width="13.7265625" style="1" customWidth="1"/>
    <col min="7" max="7" width="8.7265625" style="1"/>
    <col min="8" max="8" width="19.453125" style="1" customWidth="1"/>
    <col min="9" max="11" width="8.7265625" style="1"/>
    <col min="12" max="12" width="14.7265625" style="1" customWidth="1"/>
    <col min="13" max="17" width="8.7265625" style="1"/>
    <col min="18" max="18" width="13.26953125" style="1" bestFit="1" customWidth="1"/>
    <col min="19" max="19" width="11" style="1" bestFit="1" customWidth="1"/>
    <col min="20" max="20" width="9.7265625" style="1" bestFit="1" customWidth="1"/>
    <col min="21" max="21" width="8.7265625" style="1"/>
    <col min="22" max="22" width="9.7265625" style="1" bestFit="1" customWidth="1"/>
    <col min="23" max="16384" width="8.7265625" style="1"/>
  </cols>
  <sheetData>
    <row r="1" spans="1:4">
      <c r="A1" s="1" t="s">
        <v>298</v>
      </c>
    </row>
    <row r="3" spans="1:4" s="112" customFormat="1">
      <c r="A3" s="112" t="s">
        <v>299</v>
      </c>
    </row>
    <row r="4" spans="1:4">
      <c r="A4" s="1" t="s">
        <v>300</v>
      </c>
    </row>
    <row r="5" spans="1:4">
      <c r="A5" s="1" t="s">
        <v>301</v>
      </c>
      <c r="B5" s="1" t="s">
        <v>302</v>
      </c>
      <c r="C5" s="1" t="s">
        <v>303</v>
      </c>
      <c r="D5" s="1" t="s">
        <v>304</v>
      </c>
    </row>
    <row r="6" spans="1:4">
      <c r="A6" s="1">
        <v>2007</v>
      </c>
      <c r="B6" s="98">
        <v>28166</v>
      </c>
      <c r="C6" s="98">
        <v>79317</v>
      </c>
      <c r="D6" s="98">
        <v>107483</v>
      </c>
    </row>
    <row r="7" spans="1:4">
      <c r="A7" s="1">
        <v>2008</v>
      </c>
      <c r="B7" s="99">
        <v>27306</v>
      </c>
      <c r="C7" s="98">
        <v>78773</v>
      </c>
      <c r="D7" s="98">
        <v>106079</v>
      </c>
    </row>
    <row r="8" spans="1:4">
      <c r="A8" s="1">
        <v>2009</v>
      </c>
      <c r="B8" s="98">
        <v>27081</v>
      </c>
      <c r="C8" s="98">
        <v>78765</v>
      </c>
      <c r="D8" s="98">
        <v>105846</v>
      </c>
    </row>
    <row r="9" spans="1:4">
      <c r="A9" s="1">
        <v>2010</v>
      </c>
      <c r="B9" s="99">
        <v>26827</v>
      </c>
      <c r="C9" s="98">
        <v>78961</v>
      </c>
      <c r="D9" s="98">
        <v>105788</v>
      </c>
    </row>
    <row r="10" spans="1:4">
      <c r="A10" s="1">
        <v>2011</v>
      </c>
      <c r="B10" s="98">
        <v>26405</v>
      </c>
      <c r="C10" s="98">
        <v>76829</v>
      </c>
      <c r="D10" s="98">
        <v>103234</v>
      </c>
    </row>
    <row r="11" spans="1:4">
      <c r="A11" s="1">
        <v>2012</v>
      </c>
      <c r="B11" s="99">
        <v>26391</v>
      </c>
      <c r="C11" s="98">
        <v>78187</v>
      </c>
      <c r="D11" s="98">
        <v>104578</v>
      </c>
    </row>
    <row r="12" spans="1:4">
      <c r="A12" s="1">
        <v>2013</v>
      </c>
      <c r="B12" s="98">
        <v>25359</v>
      </c>
      <c r="C12" s="98">
        <v>79938</v>
      </c>
      <c r="D12" s="98">
        <v>105297</v>
      </c>
    </row>
    <row r="13" spans="1:4">
      <c r="A13" s="1">
        <v>2014</v>
      </c>
      <c r="B13" s="98">
        <v>24704</v>
      </c>
      <c r="C13" s="98">
        <v>80202</v>
      </c>
      <c r="D13" s="98">
        <v>104906</v>
      </c>
    </row>
    <row r="14" spans="1:4">
      <c r="A14" s="1">
        <v>2015</v>
      </c>
      <c r="B14" s="98">
        <v>25030</v>
      </c>
      <c r="C14" s="98">
        <v>80193</v>
      </c>
      <c r="D14" s="98">
        <v>105223</v>
      </c>
    </row>
    <row r="15" spans="1:4">
      <c r="A15" s="1">
        <v>2016</v>
      </c>
      <c r="B15" s="99">
        <v>25544</v>
      </c>
      <c r="C15" s="98">
        <v>81770</v>
      </c>
      <c r="D15" s="98">
        <v>107314</v>
      </c>
    </row>
    <row r="16" spans="1:4">
      <c r="A16" s="1">
        <v>2017</v>
      </c>
      <c r="B16" s="99">
        <v>25773</v>
      </c>
      <c r="C16" s="98">
        <v>82238</v>
      </c>
      <c r="D16" s="98">
        <v>108011</v>
      </c>
    </row>
    <row r="17" spans="1:5">
      <c r="A17" s="1">
        <v>2018</v>
      </c>
      <c r="B17" s="99">
        <v>25652</v>
      </c>
      <c r="C17" s="98">
        <v>82302</v>
      </c>
      <c r="D17" s="98">
        <v>107954</v>
      </c>
    </row>
    <row r="18" spans="1:5">
      <c r="A18" s="1">
        <v>2019</v>
      </c>
      <c r="B18" s="99">
        <v>25376</v>
      </c>
      <c r="C18" s="98">
        <v>82149</v>
      </c>
      <c r="D18" s="98">
        <v>107525</v>
      </c>
    </row>
    <row r="19" spans="1:5">
      <c r="A19" s="1">
        <v>2020</v>
      </c>
      <c r="B19" s="98">
        <v>23326</v>
      </c>
      <c r="C19" s="98">
        <v>70795</v>
      </c>
      <c r="D19" s="98">
        <v>94121</v>
      </c>
      <c r="E19" s="1" t="s">
        <v>305</v>
      </c>
    </row>
    <row r="22" spans="1:5">
      <c r="A22" s="1" t="s">
        <v>306</v>
      </c>
    </row>
    <row r="24" spans="1:5">
      <c r="B24" s="1" t="s">
        <v>307</v>
      </c>
    </row>
    <row r="25" spans="1:5">
      <c r="A25" s="1">
        <v>2012</v>
      </c>
      <c r="B25" s="1">
        <v>3506252</v>
      </c>
    </row>
    <row r="26" spans="1:5">
      <c r="A26" s="1">
        <v>2013</v>
      </c>
      <c r="B26" s="1">
        <v>3451797</v>
      </c>
    </row>
    <row r="27" spans="1:5">
      <c r="A27" s="1">
        <v>2014</v>
      </c>
      <c r="B27" s="1">
        <v>3554220</v>
      </c>
    </row>
    <row r="28" spans="1:5">
      <c r="A28" s="1">
        <v>2015</v>
      </c>
      <c r="B28" s="1">
        <v>3522092</v>
      </c>
    </row>
    <row r="29" spans="1:5">
      <c r="A29" s="1">
        <v>2016</v>
      </c>
      <c r="B29" s="1">
        <v>3566407</v>
      </c>
    </row>
    <row r="30" spans="1:5">
      <c r="A30" s="1">
        <v>2017</v>
      </c>
      <c r="B30" s="1">
        <v>3562741</v>
      </c>
    </row>
    <row r="31" spans="1:5">
      <c r="A31" s="1">
        <v>2018</v>
      </c>
      <c r="B31" s="1">
        <v>3488760</v>
      </c>
    </row>
    <row r="32" spans="1:5">
      <c r="A32" s="1">
        <v>2019</v>
      </c>
      <c r="B32" s="1">
        <v>3465120</v>
      </c>
    </row>
    <row r="33" spans="1:22">
      <c r="A33" s="1">
        <v>2020</v>
      </c>
      <c r="B33" s="1">
        <v>3099954</v>
      </c>
    </row>
    <row r="34" spans="1:22">
      <c r="A34" s="1">
        <v>2021</v>
      </c>
      <c r="B34" s="1">
        <v>3248325</v>
      </c>
    </row>
    <row r="35" spans="1:22" ht="28">
      <c r="A35" s="113" t="s">
        <v>308</v>
      </c>
      <c r="B35" s="67">
        <f>AVERAGE(B25:B32)</f>
        <v>3514673.625</v>
      </c>
      <c r="C35" s="1" t="s">
        <v>309</v>
      </c>
    </row>
    <row r="41" spans="1:22" s="112" customFormat="1">
      <c r="A41" s="112" t="s">
        <v>310</v>
      </c>
    </row>
    <row r="42" spans="1:22" ht="14.5">
      <c r="A42" s="43" t="s">
        <v>311</v>
      </c>
    </row>
    <row r="43" spans="1:22">
      <c r="A43" s="1" t="s">
        <v>312</v>
      </c>
    </row>
    <row r="44" spans="1:22">
      <c r="A44" s="1" t="s">
        <v>313</v>
      </c>
    </row>
    <row r="45" spans="1:22" s="22" customFormat="1" ht="112">
      <c r="B45" s="22" t="s">
        <v>314</v>
      </c>
      <c r="C45" s="22" t="s">
        <v>315</v>
      </c>
      <c r="D45" s="22" t="s">
        <v>316</v>
      </c>
      <c r="E45" s="22" t="s">
        <v>317</v>
      </c>
      <c r="F45" s="22" t="s">
        <v>318</v>
      </c>
      <c r="G45" s="22" t="s">
        <v>317</v>
      </c>
      <c r="H45" s="22" t="s">
        <v>319</v>
      </c>
      <c r="I45" s="22" t="s">
        <v>317</v>
      </c>
      <c r="J45" s="22" t="s">
        <v>320</v>
      </c>
      <c r="K45" s="22" t="s">
        <v>317</v>
      </c>
      <c r="L45" s="22" t="s">
        <v>321</v>
      </c>
      <c r="M45" s="22" t="s">
        <v>317</v>
      </c>
      <c r="N45" s="22" t="s">
        <v>322</v>
      </c>
      <c r="O45" s="22" t="s">
        <v>317</v>
      </c>
      <c r="P45" s="22" t="s">
        <v>323</v>
      </c>
      <c r="Q45" s="22" t="s">
        <v>317</v>
      </c>
      <c r="R45" s="22" t="s">
        <v>324</v>
      </c>
      <c r="S45" s="22" t="s">
        <v>325</v>
      </c>
      <c r="T45" s="22" t="s">
        <v>326</v>
      </c>
      <c r="U45" s="22" t="s">
        <v>327</v>
      </c>
      <c r="V45" s="22" t="s">
        <v>328</v>
      </c>
    </row>
    <row r="46" spans="1:22">
      <c r="B46" s="1" t="s">
        <v>329</v>
      </c>
      <c r="C46" s="66">
        <v>96910</v>
      </c>
      <c r="D46" s="66">
        <v>20115</v>
      </c>
      <c r="E46" s="1">
        <v>79</v>
      </c>
      <c r="F46" s="66">
        <v>1210</v>
      </c>
      <c r="G46" s="1">
        <v>5</v>
      </c>
      <c r="H46" s="1">
        <v>205</v>
      </c>
      <c r="I46" s="1">
        <v>1</v>
      </c>
      <c r="J46" s="66">
        <v>1429</v>
      </c>
      <c r="K46" s="1">
        <v>6</v>
      </c>
      <c r="L46" s="66">
        <v>3865</v>
      </c>
      <c r="M46" s="1">
        <v>15</v>
      </c>
      <c r="N46" s="66">
        <v>5293</v>
      </c>
      <c r="O46" s="1">
        <v>21</v>
      </c>
      <c r="P46" s="66">
        <v>25408</v>
      </c>
      <c r="Q46" s="1">
        <v>100</v>
      </c>
      <c r="R46" s="1">
        <f>P46/P48</f>
        <v>0.24856435691994638</v>
      </c>
    </row>
    <row r="47" spans="1:22">
      <c r="B47" s="1" t="s">
        <v>330</v>
      </c>
      <c r="C47" s="66">
        <v>50170</v>
      </c>
      <c r="D47" s="66">
        <v>69339</v>
      </c>
      <c r="E47" s="1">
        <v>90</v>
      </c>
      <c r="F47" s="66">
        <v>2738</v>
      </c>
      <c r="G47" s="1">
        <v>4</v>
      </c>
      <c r="H47" s="1">
        <v>469</v>
      </c>
      <c r="I47" s="1">
        <v>1</v>
      </c>
      <c r="J47" s="66">
        <v>3210</v>
      </c>
      <c r="K47" s="1">
        <v>4</v>
      </c>
      <c r="L47" s="66">
        <v>4262</v>
      </c>
      <c r="M47" s="1">
        <v>6</v>
      </c>
      <c r="N47" s="66">
        <v>7472</v>
      </c>
      <c r="O47" s="1">
        <v>10</v>
      </c>
      <c r="P47" s="66">
        <v>76811</v>
      </c>
      <c r="Q47" s="1">
        <v>100</v>
      </c>
      <c r="R47" s="1">
        <f>P47/P48</f>
        <v>0.75143564308005362</v>
      </c>
    </row>
    <row r="48" spans="1:22">
      <c r="B48" s="1" t="s">
        <v>194</v>
      </c>
      <c r="C48" s="66">
        <v>147080</v>
      </c>
      <c r="D48" s="66">
        <v>89454</v>
      </c>
      <c r="E48" s="1">
        <v>88</v>
      </c>
      <c r="F48" s="66">
        <v>3947</v>
      </c>
      <c r="G48" s="1">
        <v>4</v>
      </c>
      <c r="H48" s="1">
        <v>674</v>
      </c>
      <c r="I48" s="1">
        <v>1</v>
      </c>
      <c r="J48" s="66">
        <v>4638</v>
      </c>
      <c r="K48" s="1">
        <v>5</v>
      </c>
      <c r="L48" s="66">
        <v>8127</v>
      </c>
      <c r="M48" s="1">
        <v>8</v>
      </c>
      <c r="N48" s="66">
        <v>12765</v>
      </c>
      <c r="O48" s="1">
        <v>12</v>
      </c>
      <c r="P48" s="66">
        <v>102219</v>
      </c>
      <c r="Q48" s="1">
        <v>100</v>
      </c>
      <c r="S48" s="1">
        <f>$B$35*(E48/100)</f>
        <v>3092912.79</v>
      </c>
      <c r="T48" s="1">
        <f>$B$35*(G48/100)</f>
        <v>140586.94500000001</v>
      </c>
      <c r="U48" s="1">
        <f>$B$35*(I48/100)</f>
        <v>35146.736250000002</v>
      </c>
      <c r="V48" s="1">
        <f>$B$35*(M48/100)</f>
        <v>281173.89</v>
      </c>
    </row>
    <row r="50" spans="1:5" s="111" customFormat="1">
      <c r="A50" s="112" t="s">
        <v>331</v>
      </c>
    </row>
    <row r="51" spans="1:5" ht="14.5" thickBot="1">
      <c r="A51" s="1" t="s">
        <v>332</v>
      </c>
    </row>
    <row r="52" spans="1:5" ht="15.5">
      <c r="A52" s="70" t="s">
        <v>333</v>
      </c>
      <c r="B52" s="71"/>
      <c r="C52" s="71"/>
      <c r="D52" s="72"/>
    </row>
    <row r="53" spans="1:5" ht="15.5">
      <c r="A53" s="73" t="s">
        <v>334</v>
      </c>
      <c r="B53" s="74"/>
      <c r="C53" s="74"/>
      <c r="D53" s="75"/>
    </row>
    <row r="54" spans="1:5" ht="16" thickBot="1">
      <c r="A54" s="76" t="s">
        <v>335</v>
      </c>
      <c r="B54" s="77" t="s">
        <v>336</v>
      </c>
      <c r="C54" s="77" t="s">
        <v>337</v>
      </c>
      <c r="D54" s="78" t="s">
        <v>338</v>
      </c>
    </row>
    <row r="55" spans="1:5" ht="15.5">
      <c r="A55" s="79" t="s">
        <v>339</v>
      </c>
      <c r="B55" s="80" t="s">
        <v>340</v>
      </c>
      <c r="C55" s="80" t="s">
        <v>341</v>
      </c>
      <c r="D55" s="81" t="s">
        <v>342</v>
      </c>
      <c r="E55" s="1">
        <v>3598</v>
      </c>
    </row>
    <row r="56" spans="1:5" ht="15.5">
      <c r="A56" s="82" t="s">
        <v>343</v>
      </c>
      <c r="B56" s="83" t="s">
        <v>344</v>
      </c>
      <c r="C56" s="83" t="s">
        <v>345</v>
      </c>
      <c r="D56" s="84" t="s">
        <v>346</v>
      </c>
      <c r="E56" s="1">
        <v>85</v>
      </c>
    </row>
    <row r="57" spans="1:5" ht="15.5">
      <c r="A57" s="82" t="s">
        <v>347</v>
      </c>
      <c r="B57" s="83" t="s">
        <v>348</v>
      </c>
      <c r="C57" s="83" t="s">
        <v>349</v>
      </c>
      <c r="D57" s="84" t="s">
        <v>350</v>
      </c>
      <c r="E57" s="1">
        <v>13507.51</v>
      </c>
    </row>
    <row r="58" spans="1:5" ht="15.5">
      <c r="A58" s="82" t="s">
        <v>351</v>
      </c>
      <c r="B58" s="83" t="s">
        <v>352</v>
      </c>
      <c r="C58" s="83" t="s">
        <v>353</v>
      </c>
      <c r="D58" s="84" t="s">
        <v>354</v>
      </c>
      <c r="E58" s="1">
        <v>276.23</v>
      </c>
    </row>
    <row r="59" spans="1:5" ht="15.5">
      <c r="A59" s="82" t="s">
        <v>355</v>
      </c>
      <c r="B59" s="83" t="s">
        <v>356</v>
      </c>
      <c r="C59" s="83" t="s">
        <v>357</v>
      </c>
      <c r="D59" s="84" t="s">
        <v>358</v>
      </c>
      <c r="E59" s="1">
        <v>11518.14</v>
      </c>
    </row>
    <row r="60" spans="1:5" ht="15.5">
      <c r="A60" s="82" t="s">
        <v>359</v>
      </c>
      <c r="B60" s="83" t="s">
        <v>360</v>
      </c>
      <c r="C60" s="83" t="s">
        <v>361</v>
      </c>
      <c r="D60" s="84" t="s">
        <v>362</v>
      </c>
      <c r="E60" s="1">
        <v>13393.2</v>
      </c>
    </row>
    <row r="61" spans="1:5" ht="15.5">
      <c r="A61" s="82" t="s">
        <v>363</v>
      </c>
      <c r="B61" s="83" t="s">
        <v>364</v>
      </c>
      <c r="C61" s="83" t="s">
        <v>365</v>
      </c>
      <c r="D61" s="84" t="s">
        <v>366</v>
      </c>
      <c r="E61" s="1">
        <v>7684.35</v>
      </c>
    </row>
    <row r="62" spans="1:5" ht="15.5">
      <c r="A62" s="82" t="s">
        <v>367</v>
      </c>
      <c r="B62" s="83" t="s">
        <v>368</v>
      </c>
      <c r="C62" s="83" t="s">
        <v>369</v>
      </c>
      <c r="D62" s="84" t="s">
        <v>370</v>
      </c>
      <c r="E62" s="1">
        <v>7213</v>
      </c>
    </row>
    <row r="63" spans="1:5" ht="15.5">
      <c r="A63" s="82" t="s">
        <v>371</v>
      </c>
      <c r="B63" s="83" t="s">
        <v>372</v>
      </c>
      <c r="C63" s="83" t="s">
        <v>373</v>
      </c>
      <c r="D63" s="84" t="s">
        <v>374</v>
      </c>
      <c r="E63" s="1">
        <v>4885</v>
      </c>
    </row>
    <row r="64" spans="1:5" ht="15.5">
      <c r="A64" s="82" t="s">
        <v>375</v>
      </c>
      <c r="B64" s="83" t="s">
        <v>376</v>
      </c>
      <c r="C64" s="83" t="s">
        <v>377</v>
      </c>
      <c r="D64" s="84" t="s">
        <v>378</v>
      </c>
      <c r="E64" s="1">
        <v>4922</v>
      </c>
    </row>
    <row r="65" spans="1:8" ht="15.5">
      <c r="A65" s="85" t="s">
        <v>379</v>
      </c>
      <c r="B65" s="86" t="s">
        <v>352</v>
      </c>
      <c r="C65" s="86" t="s">
        <v>380</v>
      </c>
      <c r="D65" s="87" t="s">
        <v>381</v>
      </c>
      <c r="E65" s="1">
        <v>0</v>
      </c>
    </row>
    <row r="66" spans="1:8" ht="16" thickBot="1">
      <c r="A66" s="85" t="s">
        <v>382</v>
      </c>
      <c r="B66" s="86" t="s">
        <v>344</v>
      </c>
      <c r="C66" s="86" t="s">
        <v>383</v>
      </c>
      <c r="D66" s="87" t="s">
        <v>384</v>
      </c>
      <c r="E66" s="1">
        <v>-49.54</v>
      </c>
    </row>
    <row r="67" spans="1:8">
      <c r="A67" s="88" t="s">
        <v>385</v>
      </c>
      <c r="B67" s="89"/>
      <c r="C67" s="89"/>
      <c r="D67" s="90"/>
    </row>
    <row r="68" spans="1:8">
      <c r="A68" s="91" t="s">
        <v>386</v>
      </c>
      <c r="B68" s="92"/>
      <c r="C68" s="92"/>
      <c r="D68" s="93"/>
    </row>
    <row r="69" spans="1:8" ht="15.5">
      <c r="A69" s="91" t="s">
        <v>387</v>
      </c>
      <c r="B69" s="92"/>
      <c r="C69" s="92"/>
      <c r="D69" s="93"/>
    </row>
    <row r="70" spans="1:8">
      <c r="A70" s="91" t="s">
        <v>388</v>
      </c>
      <c r="B70" s="92"/>
      <c r="C70" s="92"/>
      <c r="D70" s="93"/>
    </row>
    <row r="71" spans="1:8" ht="14.5" thickBot="1">
      <c r="A71" s="94" t="s">
        <v>389</v>
      </c>
      <c r="B71" s="95"/>
      <c r="C71" s="95"/>
      <c r="D71" s="96"/>
    </row>
    <row r="73" spans="1:8" s="111" customFormat="1"/>
    <row r="74" spans="1:8">
      <c r="A74" s="1" t="s">
        <v>390</v>
      </c>
    </row>
    <row r="75" spans="1:8">
      <c r="A75" s="1" t="s">
        <v>391</v>
      </c>
    </row>
    <row r="76" spans="1:8">
      <c r="A76" s="252" t="s">
        <v>392</v>
      </c>
      <c r="B76" s="252" t="s">
        <v>393</v>
      </c>
      <c r="C76" s="252" t="s">
        <v>394</v>
      </c>
      <c r="D76" s="252" t="s">
        <v>199</v>
      </c>
      <c r="E76" s="252" t="s">
        <v>395</v>
      </c>
      <c r="F76" s="252" t="s">
        <v>396</v>
      </c>
      <c r="G76" s="253" t="s">
        <v>397</v>
      </c>
      <c r="H76" s="253" t="s">
        <v>398</v>
      </c>
    </row>
    <row r="77" spans="1:8">
      <c r="A77" s="252"/>
      <c r="B77" s="252"/>
      <c r="C77" s="252"/>
      <c r="D77" s="252"/>
      <c r="E77" s="252"/>
      <c r="F77" s="252"/>
      <c r="G77" s="254"/>
      <c r="H77" s="254"/>
    </row>
    <row r="78" spans="1:8">
      <c r="A78" s="252"/>
      <c r="B78" s="252"/>
      <c r="C78" s="252"/>
      <c r="D78" s="252"/>
      <c r="E78" s="252"/>
      <c r="F78" s="252"/>
      <c r="G78" s="255"/>
      <c r="H78" s="255"/>
    </row>
    <row r="79" spans="1:8" ht="26">
      <c r="A79" s="97" t="s">
        <v>399</v>
      </c>
      <c r="B79" s="256" t="s">
        <v>400</v>
      </c>
      <c r="C79" s="257" t="s">
        <v>401</v>
      </c>
      <c r="D79" s="97" t="s">
        <v>402</v>
      </c>
      <c r="E79" s="256" t="s">
        <v>400</v>
      </c>
      <c r="F79" s="258" t="s">
        <v>403</v>
      </c>
      <c r="G79" s="97" t="s">
        <v>404</v>
      </c>
      <c r="H79" s="97" t="s">
        <v>404</v>
      </c>
    </row>
    <row r="80" spans="1:8" ht="26">
      <c r="A80" s="97" t="s">
        <v>405</v>
      </c>
      <c r="B80" s="256"/>
      <c r="C80" s="257"/>
      <c r="D80" s="97" t="s">
        <v>402</v>
      </c>
      <c r="E80" s="256"/>
      <c r="F80" s="259"/>
      <c r="G80" s="97" t="s">
        <v>404</v>
      </c>
      <c r="H80" s="97" t="s">
        <v>404</v>
      </c>
    </row>
    <row r="81" spans="1:8" ht="26">
      <c r="A81" s="97" t="s">
        <v>406</v>
      </c>
      <c r="B81" s="256" t="s">
        <v>407</v>
      </c>
      <c r="C81" s="257" t="s">
        <v>408</v>
      </c>
      <c r="D81" s="97" t="s">
        <v>402</v>
      </c>
      <c r="E81" s="256" t="s">
        <v>407</v>
      </c>
      <c r="F81" s="258" t="s">
        <v>409</v>
      </c>
      <c r="G81" s="97" t="s">
        <v>404</v>
      </c>
      <c r="H81" s="97" t="s">
        <v>404</v>
      </c>
    </row>
    <row r="82" spans="1:8" ht="26">
      <c r="A82" s="97" t="s">
        <v>410</v>
      </c>
      <c r="B82" s="256"/>
      <c r="C82" s="257"/>
      <c r="D82" s="97" t="s">
        <v>402</v>
      </c>
      <c r="E82" s="256"/>
      <c r="F82" s="259"/>
      <c r="G82" s="97" t="s">
        <v>404</v>
      </c>
      <c r="H82" s="97" t="s">
        <v>404</v>
      </c>
    </row>
    <row r="83" spans="1:8" ht="26">
      <c r="A83" s="97" t="s">
        <v>411</v>
      </c>
      <c r="B83" s="256" t="s">
        <v>412</v>
      </c>
      <c r="C83" s="257" t="s">
        <v>413</v>
      </c>
      <c r="D83" s="97" t="s">
        <v>402</v>
      </c>
      <c r="E83" s="256" t="s">
        <v>412</v>
      </c>
      <c r="F83" s="258" t="s">
        <v>414</v>
      </c>
      <c r="G83" s="97" t="s">
        <v>404</v>
      </c>
      <c r="H83" s="97" t="s">
        <v>404</v>
      </c>
    </row>
    <row r="84" spans="1:8" ht="26">
      <c r="A84" s="97" t="s">
        <v>415</v>
      </c>
      <c r="B84" s="256"/>
      <c r="C84" s="257"/>
      <c r="D84" s="97" t="s">
        <v>402</v>
      </c>
      <c r="E84" s="256"/>
      <c r="F84" s="259"/>
      <c r="G84" s="97" t="s">
        <v>404</v>
      </c>
      <c r="H84" s="97" t="s">
        <v>404</v>
      </c>
    </row>
    <row r="85" spans="1:8" ht="26">
      <c r="A85" s="97" t="s">
        <v>416</v>
      </c>
      <c r="B85" s="256" t="s">
        <v>417</v>
      </c>
      <c r="C85" s="257" t="s">
        <v>418</v>
      </c>
      <c r="D85" s="97" t="s">
        <v>402</v>
      </c>
      <c r="E85" s="256" t="s">
        <v>417</v>
      </c>
      <c r="F85" s="258" t="s">
        <v>419</v>
      </c>
      <c r="G85" s="97" t="s">
        <v>404</v>
      </c>
      <c r="H85" s="97" t="s">
        <v>404</v>
      </c>
    </row>
    <row r="86" spans="1:8" ht="26">
      <c r="A86" s="97" t="s">
        <v>420</v>
      </c>
      <c r="B86" s="256"/>
      <c r="C86" s="257"/>
      <c r="D86" s="97" t="s">
        <v>402</v>
      </c>
      <c r="E86" s="256"/>
      <c r="F86" s="259"/>
      <c r="G86" s="97" t="s">
        <v>404</v>
      </c>
      <c r="H86" s="97" t="s">
        <v>404</v>
      </c>
    </row>
    <row r="87" spans="1:8">
      <c r="A87" s="1" t="s">
        <v>421</v>
      </c>
    </row>
    <row r="88" spans="1:8">
      <c r="A88" s="1" t="s">
        <v>422</v>
      </c>
    </row>
    <row r="89" spans="1:8">
      <c r="A89" s="1" t="s">
        <v>423</v>
      </c>
    </row>
    <row r="90" spans="1:8">
      <c r="A90" s="1" t="s">
        <v>424</v>
      </c>
    </row>
  </sheetData>
  <mergeCells count="24">
    <mergeCell ref="B85:B86"/>
    <mergeCell ref="C85:C86"/>
    <mergeCell ref="E85:E86"/>
    <mergeCell ref="F85:F86"/>
    <mergeCell ref="B81:B82"/>
    <mergeCell ref="C81:C82"/>
    <mergeCell ref="E81:E82"/>
    <mergeCell ref="F81:F82"/>
    <mergeCell ref="B83:B84"/>
    <mergeCell ref="C83:C84"/>
    <mergeCell ref="E83:E84"/>
    <mergeCell ref="F83:F84"/>
    <mergeCell ref="G76:G78"/>
    <mergeCell ref="H76:H78"/>
    <mergeCell ref="B79:B80"/>
    <mergeCell ref="C79:C80"/>
    <mergeCell ref="E79:E80"/>
    <mergeCell ref="F79:F80"/>
    <mergeCell ref="F76:F78"/>
    <mergeCell ref="A76:A78"/>
    <mergeCell ref="B76:B78"/>
    <mergeCell ref="C76:C78"/>
    <mergeCell ref="D76:D78"/>
    <mergeCell ref="E76:E78"/>
  </mergeCells>
  <hyperlinks>
    <hyperlink ref="A42" r:id="rId1" xr:uid="{286F285E-A188-449A-9CF6-5A966688D7EE}"/>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03AFD-9329-43CF-8D1B-A7629B66CAA2}">
  <dimension ref="A1:R53"/>
  <sheetViews>
    <sheetView topLeftCell="B1" workbookViewId="0">
      <selection activeCell="I8" sqref="I8"/>
    </sheetView>
  </sheetViews>
  <sheetFormatPr defaultColWidth="8.81640625" defaultRowHeight="14"/>
  <cols>
    <col min="1" max="1" width="8.81640625" style="1"/>
    <col min="2" max="2" width="20.26953125" style="1" customWidth="1"/>
    <col min="3" max="4" width="9.453125" style="1" customWidth="1"/>
    <col min="5" max="5" width="12.453125" style="1" customWidth="1"/>
    <col min="6" max="6" width="17.81640625" style="161" customWidth="1"/>
    <col min="7" max="7" width="9.54296875" style="1" bestFit="1" customWidth="1"/>
    <col min="8" max="8" width="13.1796875" style="1" customWidth="1"/>
    <col min="9" max="9" width="15.7265625" style="1" customWidth="1"/>
    <col min="10" max="10" width="11.453125" style="1" customWidth="1"/>
    <col min="11" max="16384" width="8.81640625" style="1"/>
  </cols>
  <sheetData>
    <row r="1" spans="1:18">
      <c r="A1" s="1" t="s">
        <v>425</v>
      </c>
    </row>
    <row r="2" spans="1:18">
      <c r="A2" s="1" t="s">
        <v>426</v>
      </c>
      <c r="M2" s="1" t="s">
        <v>427</v>
      </c>
    </row>
    <row r="3" spans="1:18" ht="55.5" customHeight="1">
      <c r="A3" s="1" t="s">
        <v>428</v>
      </c>
      <c r="B3" s="22" t="s">
        <v>429</v>
      </c>
      <c r="C3" s="22" t="s">
        <v>153</v>
      </c>
      <c r="D3" s="22" t="s">
        <v>430</v>
      </c>
      <c r="E3" s="22" t="s">
        <v>431</v>
      </c>
      <c r="F3" s="198" t="s">
        <v>74</v>
      </c>
      <c r="G3" s="22" t="s">
        <v>432</v>
      </c>
      <c r="H3" s="22" t="s">
        <v>433</v>
      </c>
      <c r="I3" s="22" t="s">
        <v>434</v>
      </c>
      <c r="J3" s="22" t="s">
        <v>435</v>
      </c>
      <c r="K3" s="22" t="s">
        <v>436</v>
      </c>
      <c r="M3" s="1" t="s">
        <v>437</v>
      </c>
    </row>
    <row r="4" spans="1:18">
      <c r="A4" s="1" t="s">
        <v>438</v>
      </c>
      <c r="B4" s="1" t="s">
        <v>439</v>
      </c>
      <c r="C4" s="152">
        <f>'1-Inputs'!B25</f>
        <v>103.14</v>
      </c>
      <c r="D4" s="1">
        <v>30</v>
      </c>
      <c r="E4" s="152">
        <f>'1-Inputs'!B26</f>
        <v>74.149297297297295</v>
      </c>
      <c r="F4" s="161">
        <f>'2-Equations'!A17</f>
        <v>14686610.399909355</v>
      </c>
      <c r="G4" s="161">
        <f>'2-Equations'!A13</f>
        <v>19540.79073212263</v>
      </c>
      <c r="H4" s="152">
        <f>G4/(C4*D4)</f>
        <v>6.3152965975446422</v>
      </c>
      <c r="I4" s="152">
        <f>G4/(E4*D4)</f>
        <v>8.7844351168854047</v>
      </c>
      <c r="J4" s="161">
        <f>F4/(E4*D4)</f>
        <v>6602.2699855690007</v>
      </c>
      <c r="M4" s="11" t="s">
        <v>440</v>
      </c>
    </row>
    <row r="5" spans="1:18">
      <c r="A5" s="1" t="s">
        <v>438</v>
      </c>
      <c r="B5" s="1" t="s">
        <v>441</v>
      </c>
      <c r="C5" s="1">
        <v>66</v>
      </c>
      <c r="D5" s="1">
        <v>10</v>
      </c>
      <c r="G5" s="161">
        <v>-1801</v>
      </c>
      <c r="H5" s="152">
        <f>G5/(C5*D5)</f>
        <v>-2.728787878787879</v>
      </c>
      <c r="M5" s="1">
        <v>45</v>
      </c>
      <c r="N5" s="1" t="s">
        <v>442</v>
      </c>
      <c r="O5" s="1" t="s">
        <v>443</v>
      </c>
    </row>
    <row r="6" spans="1:18">
      <c r="A6" s="1" t="s">
        <v>438</v>
      </c>
      <c r="B6" s="1" t="s">
        <v>304</v>
      </c>
      <c r="C6" s="152">
        <f>C4</f>
        <v>103.14</v>
      </c>
      <c r="D6" s="1">
        <v>30</v>
      </c>
      <c r="E6" s="152">
        <f>SUM(E4:E5)</f>
        <v>74.149297297297295</v>
      </c>
      <c r="F6" s="161">
        <f>SUM(F4:F5)</f>
        <v>14686610.399909355</v>
      </c>
      <c r="G6" s="161">
        <f>SUM(G4,G5*-1)</f>
        <v>21341.79073212263</v>
      </c>
      <c r="H6" s="152">
        <f>SUM(H4,H5*-1)</f>
        <v>9.0440844763325217</v>
      </c>
      <c r="I6" s="152">
        <f>SUM(I4:I5)</f>
        <v>8.7844351168854047</v>
      </c>
      <c r="J6" s="152">
        <f>SUM(J4:J5)</f>
        <v>6602.2699855690007</v>
      </c>
      <c r="M6" s="1">
        <f>10^6</f>
        <v>1000000</v>
      </c>
      <c r="N6" s="1" t="s">
        <v>444</v>
      </c>
    </row>
    <row r="7" spans="1:18" s="199" customFormat="1">
      <c r="A7" s="1" t="s">
        <v>445</v>
      </c>
      <c r="B7" s="1" t="s">
        <v>446</v>
      </c>
      <c r="C7" s="1">
        <v>97.2</v>
      </c>
      <c r="D7" s="1">
        <v>30</v>
      </c>
      <c r="E7" s="1">
        <v>146</v>
      </c>
      <c r="F7" s="161">
        <v>147174244</v>
      </c>
      <c r="G7" s="161">
        <v>57202</v>
      </c>
      <c r="H7" s="152">
        <f>G7/(C7*D7)</f>
        <v>19.616598079561044</v>
      </c>
      <c r="I7" s="152">
        <f>G7/(E7*D7)</f>
        <v>13.059817351598173</v>
      </c>
      <c r="J7" s="161">
        <f>F7/(E7*D7)</f>
        <v>33601.425570776257</v>
      </c>
      <c r="K7" s="1"/>
      <c r="L7" s="1"/>
      <c r="M7" s="1">
        <v>4046.86</v>
      </c>
      <c r="N7" s="1" t="s">
        <v>447</v>
      </c>
      <c r="O7" s="1"/>
      <c r="P7" s="1"/>
      <c r="Q7" s="1"/>
      <c r="R7" s="1"/>
    </row>
    <row r="8" spans="1:18">
      <c r="A8" s="1" t="s">
        <v>445</v>
      </c>
      <c r="B8" s="1" t="s">
        <v>448</v>
      </c>
      <c r="C8" s="1">
        <v>952.3</v>
      </c>
      <c r="D8" s="1">
        <v>30</v>
      </c>
      <c r="E8" s="1">
        <v>327</v>
      </c>
      <c r="F8" s="161">
        <v>326040498</v>
      </c>
      <c r="G8" s="161">
        <v>135915</v>
      </c>
      <c r="H8" s="152">
        <f t="shared" ref="H8:H13" si="0">G8/(C8*D8)</f>
        <v>4.7574293814974276</v>
      </c>
      <c r="I8" s="152">
        <f t="shared" ref="I8:I25" si="1">G8/(E8*D8)</f>
        <v>13.854740061162079</v>
      </c>
      <c r="J8" s="161">
        <f t="shared" ref="J8:J25" si="2">F8/(E8*D8)</f>
        <v>33235.524770642201</v>
      </c>
      <c r="M8" s="152">
        <f>M5*(1/M6)*M7*(44/12)</f>
        <v>0.66773189999999993</v>
      </c>
      <c r="N8" s="1" t="s">
        <v>449</v>
      </c>
    </row>
    <row r="9" spans="1:18">
      <c r="A9" s="1" t="s">
        <v>445</v>
      </c>
      <c r="B9" s="1" t="s">
        <v>450</v>
      </c>
      <c r="C9" s="1">
        <v>303.5</v>
      </c>
      <c r="D9" s="1">
        <v>30</v>
      </c>
      <c r="E9" s="1">
        <v>359</v>
      </c>
      <c r="F9" s="161">
        <v>31740101</v>
      </c>
      <c r="G9" s="161">
        <v>27120</v>
      </c>
      <c r="H9" s="152">
        <f t="shared" si="0"/>
        <v>2.9785831960461286</v>
      </c>
      <c r="I9" s="152">
        <f t="shared" si="1"/>
        <v>2.5181058495821729</v>
      </c>
      <c r="J9" s="161">
        <f t="shared" si="2"/>
        <v>2947.0845868152273</v>
      </c>
    </row>
    <row r="10" spans="1:18">
      <c r="A10" s="1" t="s">
        <v>445</v>
      </c>
      <c r="B10" s="1" t="s">
        <v>451</v>
      </c>
      <c r="C10" s="1">
        <v>177.8</v>
      </c>
      <c r="D10" s="1">
        <v>30</v>
      </c>
      <c r="E10" s="1">
        <v>588</v>
      </c>
      <c r="F10" s="161">
        <v>139085668</v>
      </c>
      <c r="G10" s="161">
        <v>67838</v>
      </c>
      <c r="H10" s="152">
        <f t="shared" si="0"/>
        <v>12.718035245594301</v>
      </c>
      <c r="I10" s="152">
        <f t="shared" si="1"/>
        <v>3.8456916099773242</v>
      </c>
      <c r="J10" s="161">
        <f t="shared" si="2"/>
        <v>7884.6750566893425</v>
      </c>
      <c r="M10" s="11" t="s">
        <v>452</v>
      </c>
    </row>
    <row r="11" spans="1:18">
      <c r="A11" s="1" t="s">
        <v>445</v>
      </c>
      <c r="B11" s="1" t="s">
        <v>453</v>
      </c>
      <c r="C11" s="1">
        <v>2492.8000000000002</v>
      </c>
      <c r="D11" s="1">
        <v>30</v>
      </c>
      <c r="E11" s="1">
        <v>353</v>
      </c>
      <c r="F11" s="161">
        <v>212593431</v>
      </c>
      <c r="G11" s="161">
        <v>105899</v>
      </c>
      <c r="H11" s="152">
        <f t="shared" si="0"/>
        <v>1.4160649336756526</v>
      </c>
      <c r="I11" s="152">
        <f t="shared" si="1"/>
        <v>9.9999055712936737</v>
      </c>
      <c r="J11" s="161">
        <f t="shared" si="2"/>
        <v>20074.922662889519</v>
      </c>
      <c r="M11" s="1">
        <v>387</v>
      </c>
      <c r="N11" s="1" t="s">
        <v>454</v>
      </c>
      <c r="O11" s="1" t="s">
        <v>455</v>
      </c>
    </row>
    <row r="12" spans="1:18" s="200" customFormat="1">
      <c r="A12" s="1" t="s">
        <v>445</v>
      </c>
      <c r="B12" s="1" t="s">
        <v>456</v>
      </c>
      <c r="C12" s="1">
        <v>7521.7</v>
      </c>
      <c r="D12" s="1">
        <v>30</v>
      </c>
      <c r="E12" s="1">
        <v>593</v>
      </c>
      <c r="F12" s="161">
        <v>597769362</v>
      </c>
      <c r="G12" s="161">
        <v>253521</v>
      </c>
      <c r="H12" s="152">
        <f t="shared" si="0"/>
        <v>1.1235093130542297</v>
      </c>
      <c r="I12" s="152">
        <f t="shared" si="1"/>
        <v>14.250758853288364</v>
      </c>
      <c r="J12" s="161">
        <f t="shared" si="2"/>
        <v>33601.425632377737</v>
      </c>
      <c r="K12" s="1"/>
      <c r="L12" s="1"/>
      <c r="M12" s="1">
        <f>M11*(1/M6)*M7</f>
        <v>1.56613482</v>
      </c>
      <c r="N12" s="1" t="s">
        <v>457</v>
      </c>
      <c r="O12" s="1"/>
      <c r="P12" s="1"/>
      <c r="Q12" s="1"/>
      <c r="R12" s="1"/>
    </row>
    <row r="13" spans="1:18">
      <c r="A13" s="1" t="s">
        <v>445</v>
      </c>
      <c r="B13" s="1" t="s">
        <v>458</v>
      </c>
      <c r="C13" s="1">
        <v>59.2</v>
      </c>
      <c r="D13" s="1">
        <v>30</v>
      </c>
      <c r="E13" s="1">
        <v>115</v>
      </c>
      <c r="F13" s="161">
        <v>96011299</v>
      </c>
      <c r="G13" s="161">
        <v>37797</v>
      </c>
      <c r="H13" s="152">
        <f t="shared" si="0"/>
        <v>21.282094594594593</v>
      </c>
      <c r="I13" s="152">
        <f t="shared" si="1"/>
        <v>10.955652173913043</v>
      </c>
      <c r="J13" s="161">
        <f t="shared" si="2"/>
        <v>27829.362028985506</v>
      </c>
      <c r="M13" s="1">
        <v>201</v>
      </c>
      <c r="N13" s="1" t="s">
        <v>459</v>
      </c>
    </row>
    <row r="14" spans="1:18">
      <c r="A14" s="1" t="s">
        <v>445</v>
      </c>
      <c r="B14" s="1" t="s">
        <v>460</v>
      </c>
      <c r="C14" s="1">
        <v>4411</v>
      </c>
      <c r="D14" s="1">
        <v>30</v>
      </c>
      <c r="E14" s="1">
        <v>5062</v>
      </c>
      <c r="F14" s="161">
        <v>1445934141</v>
      </c>
      <c r="G14" s="161">
        <v>692687</v>
      </c>
      <c r="H14" s="152">
        <f t="shared" ref="H14:H25" si="3">G14/(C14*D14)</f>
        <v>5.2345424317992899</v>
      </c>
      <c r="I14" s="152">
        <f t="shared" si="1"/>
        <v>4.5613525615698673</v>
      </c>
      <c r="J14" s="161">
        <f t="shared" si="2"/>
        <v>9521.4944093243776</v>
      </c>
      <c r="M14" s="1">
        <f>M13*(1/M6)*M7</f>
        <v>0.81341885999999997</v>
      </c>
      <c r="N14" s="1" t="s">
        <v>461</v>
      </c>
    </row>
    <row r="15" spans="1:18">
      <c r="A15" s="1" t="s">
        <v>445</v>
      </c>
      <c r="B15" s="1" t="s">
        <v>462</v>
      </c>
      <c r="C15" s="1">
        <v>53</v>
      </c>
      <c r="D15" s="1">
        <v>30</v>
      </c>
      <c r="E15" s="1">
        <v>18</v>
      </c>
      <c r="F15" s="161">
        <v>15027855</v>
      </c>
      <c r="G15" s="161">
        <v>6489</v>
      </c>
      <c r="H15" s="152">
        <f t="shared" si="3"/>
        <v>4.0811320754716984</v>
      </c>
      <c r="I15" s="152">
        <f t="shared" si="1"/>
        <v>12.016666666666667</v>
      </c>
      <c r="J15" s="161">
        <f t="shared" si="2"/>
        <v>27829.361111111109</v>
      </c>
    </row>
    <row r="16" spans="1:18">
      <c r="A16" s="1" t="s">
        <v>445</v>
      </c>
      <c r="B16" s="1" t="s">
        <v>463</v>
      </c>
      <c r="C16" s="1">
        <v>6606</v>
      </c>
      <c r="D16" s="1">
        <v>1460</v>
      </c>
      <c r="E16" s="1">
        <v>1460</v>
      </c>
      <c r="F16" s="161">
        <v>1167759830</v>
      </c>
      <c r="G16" s="161">
        <v>528312</v>
      </c>
      <c r="H16" s="152">
        <f t="shared" si="3"/>
        <v>5.477710176302987E-2</v>
      </c>
      <c r="I16" s="152">
        <f t="shared" si="1"/>
        <v>0.24784762619628448</v>
      </c>
      <c r="J16" s="161">
        <f t="shared" si="2"/>
        <v>547.83253424657539</v>
      </c>
      <c r="M16" s="11" t="s">
        <v>464</v>
      </c>
    </row>
    <row r="17" spans="1:15">
      <c r="A17" s="1" t="s">
        <v>445</v>
      </c>
      <c r="B17" s="1" t="s">
        <v>465</v>
      </c>
      <c r="C17" s="1">
        <v>595.4</v>
      </c>
      <c r="D17" s="1">
        <v>30</v>
      </c>
      <c r="E17" s="1">
        <v>297</v>
      </c>
      <c r="F17" s="161">
        <v>299388702</v>
      </c>
      <c r="G17" s="161">
        <v>120789</v>
      </c>
      <c r="H17" s="152">
        <f t="shared" si="3"/>
        <v>6.7623446422573057</v>
      </c>
      <c r="I17" s="152">
        <f t="shared" si="1"/>
        <v>13.556565656565656</v>
      </c>
      <c r="J17" s="161">
        <f t="shared" si="2"/>
        <v>33601.42558922559</v>
      </c>
      <c r="M17" s="1">
        <f>AVERAGE(10^-3, 10^-3.5, 10^-3, 10^-2, 10^-2.3, 10^-1, 10^-3.2, 10^-1.5, 10^-2, 10^-1.5, 10^-1)</f>
        <v>2.6473146422739759E-2</v>
      </c>
      <c r="N17" s="1" t="s">
        <v>466</v>
      </c>
      <c r="O17" s="1" t="s">
        <v>467</v>
      </c>
    </row>
    <row r="18" spans="1:15" ht="11.5" customHeight="1">
      <c r="A18" s="1" t="s">
        <v>445</v>
      </c>
      <c r="B18" s="1" t="s">
        <v>468</v>
      </c>
      <c r="C18" s="1">
        <v>184.6</v>
      </c>
      <c r="D18" s="1">
        <v>30</v>
      </c>
      <c r="E18" s="1">
        <v>559</v>
      </c>
      <c r="F18" s="161">
        <v>57134441</v>
      </c>
      <c r="G18" s="161">
        <v>38861</v>
      </c>
      <c r="H18" s="152">
        <f t="shared" si="3"/>
        <v>7.0171542072950528</v>
      </c>
      <c r="I18" s="152">
        <f t="shared" si="1"/>
        <v>2.3172927847346454</v>
      </c>
      <c r="J18" s="161">
        <f t="shared" si="2"/>
        <v>3406.943410852713</v>
      </c>
      <c r="M18" s="1">
        <f>(M17*24*365)*(1/M6)*M7*25</f>
        <v>23.462152695779967</v>
      </c>
      <c r="N18" s="1" t="s">
        <v>469</v>
      </c>
    </row>
    <row r="19" spans="1:15">
      <c r="A19" s="1" t="s">
        <v>445</v>
      </c>
      <c r="B19" s="1" t="s">
        <v>468</v>
      </c>
      <c r="C19" s="1">
        <v>591.70000000000005</v>
      </c>
      <c r="D19" s="1">
        <v>30</v>
      </c>
      <c r="E19" s="1">
        <v>151</v>
      </c>
      <c r="F19" s="161">
        <v>15433454</v>
      </c>
      <c r="G19" s="161">
        <v>14858</v>
      </c>
      <c r="H19" s="152">
        <f t="shared" si="3"/>
        <v>0.83702326629485668</v>
      </c>
      <c r="I19" s="152">
        <f t="shared" si="1"/>
        <v>3.2799116997792495</v>
      </c>
      <c r="J19" s="161">
        <f t="shared" si="2"/>
        <v>3406.9434878587194</v>
      </c>
      <c r="M19" s="1">
        <v>0.35</v>
      </c>
      <c r="N19" s="1" t="s">
        <v>470</v>
      </c>
    </row>
    <row r="20" spans="1:15">
      <c r="A20" s="1" t="s">
        <v>445</v>
      </c>
      <c r="B20" s="1" t="s">
        <v>468</v>
      </c>
      <c r="C20" s="1">
        <v>348</v>
      </c>
      <c r="D20" s="1">
        <v>30</v>
      </c>
      <c r="E20" s="1">
        <v>166</v>
      </c>
      <c r="F20" s="161">
        <v>16966578</v>
      </c>
      <c r="G20" s="161">
        <v>16330</v>
      </c>
      <c r="H20" s="152">
        <f t="shared" si="3"/>
        <v>1.564176245210728</v>
      </c>
      <c r="I20" s="152">
        <f t="shared" si="1"/>
        <v>3.2791164658634537</v>
      </c>
      <c r="J20" s="161">
        <f t="shared" si="2"/>
        <v>3406.9433734939757</v>
      </c>
      <c r="M20" s="1">
        <v>1.1000000000000001</v>
      </c>
      <c r="N20" s="1" t="s">
        <v>471</v>
      </c>
    </row>
    <row r="21" spans="1:15" ht="14.5">
      <c r="A21" s="1" t="s">
        <v>445</v>
      </c>
      <c r="B21" s="1" t="s">
        <v>472</v>
      </c>
      <c r="C21" s="1">
        <v>574</v>
      </c>
      <c r="D21" s="1">
        <v>30</v>
      </c>
      <c r="E21" s="1">
        <v>113</v>
      </c>
      <c r="F21" s="161">
        <v>88280835</v>
      </c>
      <c r="G21" s="161">
        <v>37981</v>
      </c>
      <c r="H21" s="152">
        <f t="shared" si="3"/>
        <v>2.2056329849012775</v>
      </c>
      <c r="I21" s="152">
        <f t="shared" si="1"/>
        <v>11.203834808259588</v>
      </c>
      <c r="J21" s="161">
        <f t="shared" si="2"/>
        <v>26041.544247787609</v>
      </c>
      <c r="M21" s="1">
        <v>1</v>
      </c>
      <c r="N21" s="1" t="s">
        <v>473</v>
      </c>
    </row>
    <row r="22" spans="1:15" ht="14.5">
      <c r="A22" s="1" t="s">
        <v>445</v>
      </c>
      <c r="B22" s="1" t="s">
        <v>472</v>
      </c>
      <c r="C22" s="1">
        <v>595.20000000000005</v>
      </c>
      <c r="D22" s="1">
        <v>30</v>
      </c>
      <c r="E22" s="1">
        <v>202</v>
      </c>
      <c r="F22" s="161">
        <v>157811759</v>
      </c>
      <c r="G22" s="161">
        <v>66864</v>
      </c>
      <c r="H22" s="152">
        <f t="shared" si="3"/>
        <v>3.7446236559139785</v>
      </c>
      <c r="I22" s="152">
        <f t="shared" si="1"/>
        <v>11.033663366336633</v>
      </c>
      <c r="J22" s="161">
        <f t="shared" si="2"/>
        <v>26041.544389438943</v>
      </c>
      <c r="M22" s="1">
        <v>0.40468599999999999</v>
      </c>
      <c r="N22" s="1" t="s">
        <v>474</v>
      </c>
    </row>
    <row r="23" spans="1:15" ht="14.5">
      <c r="A23" s="1" t="s">
        <v>445</v>
      </c>
      <c r="B23" s="1" t="s">
        <v>475</v>
      </c>
      <c r="C23" s="1">
        <v>736.1</v>
      </c>
      <c r="D23" s="1">
        <v>30</v>
      </c>
      <c r="E23" s="1">
        <v>146</v>
      </c>
      <c r="F23" s="161">
        <v>48039106</v>
      </c>
      <c r="G23" s="161">
        <v>29523</v>
      </c>
      <c r="H23" s="152">
        <f t="shared" si="3"/>
        <v>1.3369107458225784</v>
      </c>
      <c r="I23" s="152">
        <f t="shared" si="1"/>
        <v>6.7404109589041097</v>
      </c>
      <c r="J23" s="161">
        <f t="shared" si="2"/>
        <v>10967.832420091325</v>
      </c>
      <c r="M23" s="152">
        <f>M19*M22*(44/12)</f>
        <v>0.51934703333333332</v>
      </c>
      <c r="N23" s="1" t="s">
        <v>476</v>
      </c>
    </row>
    <row r="24" spans="1:15" ht="14.5">
      <c r="A24" s="1" t="s">
        <v>445</v>
      </c>
      <c r="B24" s="1" t="s">
        <v>458</v>
      </c>
      <c r="C24" s="1">
        <v>75.400000000000006</v>
      </c>
      <c r="D24" s="1">
        <v>30</v>
      </c>
      <c r="E24" s="1">
        <v>227</v>
      </c>
      <c r="F24" s="161">
        <v>189517955</v>
      </c>
      <c r="G24" s="161">
        <v>74375</v>
      </c>
      <c r="H24" s="152">
        <f t="shared" si="3"/>
        <v>32.880194518125556</v>
      </c>
      <c r="I24" s="152">
        <f t="shared" si="1"/>
        <v>10.92143906020558</v>
      </c>
      <c r="J24" s="161">
        <f t="shared" si="2"/>
        <v>27829.361967694567</v>
      </c>
      <c r="K24" s="2" t="s">
        <v>477</v>
      </c>
      <c r="M24" s="152">
        <f>M20*M22*(44/12)</f>
        <v>1.6322335333333333</v>
      </c>
      <c r="N24" s="1" t="s">
        <v>478</v>
      </c>
    </row>
    <row r="25" spans="1:15" ht="14.5">
      <c r="A25" s="1" t="s">
        <v>445</v>
      </c>
      <c r="B25" s="1" t="s">
        <v>451</v>
      </c>
      <c r="C25" s="1">
        <v>540.6</v>
      </c>
      <c r="D25" s="1">
        <v>30</v>
      </c>
      <c r="E25" s="1">
        <v>577</v>
      </c>
      <c r="F25" s="161">
        <v>182000963</v>
      </c>
      <c r="G25" s="161">
        <v>89085</v>
      </c>
      <c r="H25" s="152">
        <f t="shared" si="3"/>
        <v>5.492970773214946</v>
      </c>
      <c r="I25" s="152">
        <f t="shared" si="1"/>
        <v>5.1464471403812828</v>
      </c>
      <c r="J25" s="161">
        <f t="shared" si="2"/>
        <v>10514.209300982091</v>
      </c>
    </row>
    <row r="26" spans="1:15" ht="14.5">
      <c r="A26" s="1" t="s">
        <v>479</v>
      </c>
      <c r="B26" s="1" t="s">
        <v>480</v>
      </c>
      <c r="H26" s="152">
        <f>M31</f>
        <v>40.063913999999997</v>
      </c>
      <c r="J26" s="161"/>
      <c r="M26" s="201" t="s">
        <v>481</v>
      </c>
      <c r="O26" s="1" t="s">
        <v>482</v>
      </c>
    </row>
    <row r="27" spans="1:15" ht="14.5">
      <c r="A27" s="1" t="s">
        <v>479</v>
      </c>
      <c r="B27" s="1" t="s">
        <v>483</v>
      </c>
      <c r="H27" s="152">
        <f>M33</f>
        <v>62.321643999999999</v>
      </c>
      <c r="J27" s="161"/>
      <c r="M27" s="201" t="s">
        <v>484</v>
      </c>
    </row>
    <row r="28" spans="1:15" ht="14.5">
      <c r="H28" s="152"/>
      <c r="I28" s="152"/>
      <c r="J28" s="161"/>
    </row>
    <row r="29" spans="1:15" ht="14.5">
      <c r="M29" s="202" t="s">
        <v>485</v>
      </c>
      <c r="N29" s="203"/>
    </row>
    <row r="30" spans="1:15" ht="14.5">
      <c r="M30" s="1">
        <v>27</v>
      </c>
      <c r="N30" s="1" t="s">
        <v>486</v>
      </c>
    </row>
    <row r="31" spans="1:15" ht="14.5">
      <c r="M31" s="1">
        <f>M30*(44/12)*M22</f>
        <v>40.063913999999997</v>
      </c>
      <c r="N31" s="1" t="s">
        <v>487</v>
      </c>
    </row>
    <row r="32" spans="1:15" ht="14.5">
      <c r="M32" s="1">
        <v>42</v>
      </c>
      <c r="N32" s="1" t="s">
        <v>488</v>
      </c>
    </row>
    <row r="33" spans="1:18" ht="14.5">
      <c r="M33" s="1">
        <f>M32*(44/12)*M22</f>
        <v>62.321643999999999</v>
      </c>
      <c r="N33" s="1" t="s">
        <v>489</v>
      </c>
    </row>
    <row r="34" spans="1:18" ht="14.5">
      <c r="N34" s="1" t="s">
        <v>490</v>
      </c>
    </row>
    <row r="36" spans="1:18" ht="14.5">
      <c r="M36" s="1" t="s">
        <v>491</v>
      </c>
    </row>
    <row r="47" spans="1:18" s="203" customFormat="1" ht="14.5">
      <c r="A47" s="1"/>
      <c r="B47" s="1"/>
      <c r="C47" s="1"/>
      <c r="D47" s="1"/>
      <c r="E47" s="1"/>
      <c r="F47" s="161"/>
      <c r="G47" s="1"/>
      <c r="H47" s="1"/>
      <c r="I47" s="1"/>
      <c r="J47" s="1"/>
      <c r="K47" s="1"/>
      <c r="L47" s="1"/>
      <c r="M47" s="1"/>
      <c r="N47" s="1"/>
      <c r="O47" s="1"/>
      <c r="P47" s="1"/>
      <c r="Q47" s="1"/>
      <c r="R47" s="1"/>
    </row>
    <row r="53" ht="15" customHeight="1"/>
  </sheetData>
  <phoneticPr fontId="66" type="noConversion"/>
  <pageMargins left="0.7" right="0.7" top="0.75" bottom="0.75" header="0.3" footer="0.3"/>
  <pageSetup orientation="portrait" horizontalDpi="1200" verticalDpi="1200" r:id="rId1"/>
  <ignoredErrors>
    <ignoredError sqref="H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B19818F9C5024198B6F78956A4E7F7" ma:contentTypeVersion="19" ma:contentTypeDescription="Create a new document." ma:contentTypeScope="" ma:versionID="e06132e7648de846cac35a972461813b">
  <xsd:schema xmlns:xsd="http://www.w3.org/2001/XMLSchema" xmlns:xs="http://www.w3.org/2001/XMLSchema" xmlns:p="http://schemas.microsoft.com/office/2006/metadata/properties" xmlns:ns2="5d8c711f-12c4-4b74-a160-ecf4c25002d6" xmlns:ns3="d810a318-5788-42c4-bc95-17272ed21e47" xmlns:ns4="http://schemas.microsoft.com/sharepoint/v4" targetNamespace="http://schemas.microsoft.com/office/2006/metadata/properties" ma:root="true" ma:fieldsID="d89f1636f13ac376e61374ab4213af38" ns2:_="" ns3:_="" ns4:_="">
    <xsd:import namespace="5d8c711f-12c4-4b74-a160-ecf4c25002d6"/>
    <xsd:import namespace="d810a318-5788-42c4-bc95-17272ed21e47"/>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ime" minOccurs="0"/>
                <xsd:element ref="ns2:MediaLengthInSeconds" minOccurs="0"/>
                <xsd:element ref="ns2:lcf76f155ced4ddcb4097134ff3c332f" minOccurs="0"/>
                <xsd:element ref="ns3:TaxCatchAll" minOccurs="0"/>
                <xsd:element ref="ns4:IconOverlay" minOccurs="0"/>
                <xsd:element ref="ns2: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8c711f-12c4-4b74-a160-ecf4c25002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time" ma:index="20" nillable="true" ma:displayName="time" ma:format="DateOnly" ma:internalName="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0ba17d1-332e-49f2-a71e-f3f541141499" ma:termSetId="09814cd3-568e-fe90-9814-8d621ff8fb84" ma:anchorId="fba54fb3-c3e1-fe81-a776-ca4b69148c4d" ma:open="true" ma:isKeyword="false">
      <xsd:complexType>
        <xsd:sequence>
          <xsd:element ref="pc:Terms" minOccurs="0" maxOccurs="1"/>
        </xsd:sequence>
      </xsd:complexType>
    </xsd:element>
    <xsd:element name="Person" ma:index="26"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10a318-5788-42c4-bc95-17272ed21e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29c3865-c860-4cfe-bfb0-6374394e6f6f}" ma:internalName="TaxCatchAll" ma:showField="CatchAllData" ma:web="d810a318-5788-42c4-bc95-17272ed21e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810a318-5788-42c4-bc95-17272ed21e47" xsi:nil="true"/>
    <lcf76f155ced4ddcb4097134ff3c332f xmlns="5d8c711f-12c4-4b74-a160-ecf4c25002d6">
      <Terms xmlns="http://schemas.microsoft.com/office/infopath/2007/PartnerControls"/>
    </lcf76f155ced4ddcb4097134ff3c332f>
    <IconOverlay xmlns="http://schemas.microsoft.com/sharepoint/v4" xsi:nil="true"/>
    <Person xmlns="5d8c711f-12c4-4b74-a160-ecf4c25002d6">
      <UserInfo>
        <DisplayName/>
        <AccountId xsi:nil="true"/>
        <AccountType/>
      </UserInfo>
    </Person>
    <time xmlns="5d8c711f-12c4-4b74-a160-ecf4c25002d6" xsi:nil="true"/>
  </documentManagement>
</p:properties>
</file>

<file path=customXml/itemProps1.xml><?xml version="1.0" encoding="utf-8"?>
<ds:datastoreItem xmlns:ds="http://schemas.openxmlformats.org/officeDocument/2006/customXml" ds:itemID="{C86A09A6-DC85-4C38-A7C2-D58E59E6D86A}">
  <ds:schemaRefs>
    <ds:schemaRef ds:uri="http://schemas.microsoft.com/sharepoint/v3/contenttype/forms"/>
  </ds:schemaRefs>
</ds:datastoreItem>
</file>

<file path=customXml/itemProps2.xml><?xml version="1.0" encoding="utf-8"?>
<ds:datastoreItem xmlns:ds="http://schemas.openxmlformats.org/officeDocument/2006/customXml" ds:itemID="{50E8E60B-5309-4126-9415-127242E14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8c711f-12c4-4b74-a160-ecf4c25002d6"/>
    <ds:schemaRef ds:uri="d810a318-5788-42c4-bc95-17272ed21e4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E39729-FF7F-4D3E-9830-32114D5D4163}">
  <ds:schemaRefs>
    <ds:schemaRef ds:uri="http://schemas.microsoft.com/office/2006/metadata/properties"/>
    <ds:schemaRef ds:uri="http://schemas.microsoft.com/office/infopath/2007/PartnerControls"/>
    <ds:schemaRef ds:uri="d810a318-5788-42c4-bc95-17272ed21e47"/>
    <ds:schemaRef ds:uri="5d8c711f-12c4-4b74-a160-ecf4c25002d6"/>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0-READ_ME</vt:lpstr>
      <vt:lpstr>1-Inputs</vt:lpstr>
      <vt:lpstr>2-Equations</vt:lpstr>
      <vt:lpstr>3-Results</vt:lpstr>
      <vt:lpstr>COMETFarm</vt:lpstr>
      <vt:lpstr>Charts</vt:lpstr>
      <vt:lpstr>MPG &amp; AVEFs by yr</vt:lpstr>
      <vt:lpstr>MPG_Refs</vt:lpstr>
      <vt:lpstr>per acre</vt:lpstr>
      <vt:lpstr>SOC Ref</vt:lpstr>
      <vt:lpstr>Btu</vt:lpstr>
      <vt:lpstr>nonCO2 EFs</vt:lpstr>
      <vt:lpstr>Census Tract Yr Structure Built</vt:lpstr>
      <vt:lpstr>vehicles per HH</vt:lpstr>
      <vt:lpstr>data sources</vt:lpstr>
      <vt:lpstr>Btu!Print_Titles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McGill</dc:creator>
  <cp:keywords/>
  <dc:description/>
  <cp:lastModifiedBy>Kate Rossiter Pontius</cp:lastModifiedBy>
  <cp:revision/>
  <dcterms:created xsi:type="dcterms:W3CDTF">2015-06-05T18:17:20Z</dcterms:created>
  <dcterms:modified xsi:type="dcterms:W3CDTF">2023-02-24T16:03:24Z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0x0101006FB19818F9C5024198B6F78956A4E7F7</vt:lpwstr>
  </property>
  <property fmtid="{D5CDD505-2E9C-101B-9397-08002B2CF9AE}" pid="3" name="MediaServiceImageTags">
    <vt:lpwstr/>
  </property>
</Properties>
</file>